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fileSharing readOnlyRecommended="1"/>
  <workbookPr/>
  <mc:AlternateContent xmlns:mc="http://schemas.openxmlformats.org/markup-compatibility/2006">
    <mc:Choice Requires="x15">
      <x15ac:absPath xmlns:x15ac="http://schemas.microsoft.com/office/spreadsheetml/2010/11/ac" url="/Users/karamelville-bain/Downloads/"/>
    </mc:Choice>
  </mc:AlternateContent>
  <xr:revisionPtr revIDLastSave="0" documentId="13_ncr:1_{52FFCF99-EF1D-A94E-926D-CA8D14E03579}" xr6:coauthVersionLast="47" xr6:coauthVersionMax="47" xr10:uidLastSave="{00000000-0000-0000-0000-000000000000}"/>
  <bookViews>
    <workbookView xWindow="0" yWindow="500" windowWidth="28800" windowHeight="16380" xr2:uid="{00000000-000D-0000-FFFF-FFFF00000000}"/>
  </bookViews>
  <sheets>
    <sheet name="Summary of emissions" sheetId="1" r:id="rId1"/>
    <sheet name="Hardware Manufacturing + Repair" sheetId="2" r:id="rId2"/>
    <sheet name="Transportation + Distribution" sheetId="3" r:id="rId3"/>
    <sheet name="Energy Usage" sheetId="4" r:id="rId4"/>
    <sheet name="Additional resources" sheetId="5" r:id="rId5"/>
    <sheet name="Accommodation" sheetId="6" r:id="rId6"/>
    <sheet name="Journey examples and averages"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0" i="7" l="1"/>
  <c r="Q40" i="7"/>
  <c r="P40" i="7"/>
  <c r="S40" i="7" s="1"/>
  <c r="S39" i="7"/>
  <c r="R39" i="7"/>
  <c r="Q39" i="7"/>
  <c r="P39" i="7"/>
  <c r="V38" i="7"/>
  <c r="R38" i="7"/>
  <c r="Q38" i="7"/>
  <c r="P38" i="7"/>
  <c r="S38" i="7" s="1"/>
  <c r="S35" i="7"/>
  <c r="S34" i="7"/>
  <c r="S33" i="7"/>
  <c r="S30" i="7"/>
  <c r="S29" i="7"/>
  <c r="S28" i="7"/>
  <c r="S25" i="7"/>
  <c r="S24" i="7"/>
  <c r="S23" i="7"/>
  <c r="S20" i="7"/>
  <c r="S19" i="7"/>
  <c r="S18" i="7"/>
  <c r="S15" i="7"/>
  <c r="S14" i="7"/>
  <c r="S13" i="7"/>
  <c r="S10" i="7"/>
  <c r="S9" i="7"/>
  <c r="S8" i="7"/>
  <c r="S5" i="7"/>
  <c r="S4" i="7"/>
  <c r="S3" i="7"/>
  <c r="K8" i="6"/>
  <c r="F8" i="6"/>
  <c r="F7" i="6"/>
  <c r="K7" i="6" s="1"/>
  <c r="L5" i="6" s="1"/>
  <c r="G9" i="1" s="1"/>
  <c r="G10" i="1" s="1"/>
  <c r="K6" i="6"/>
  <c r="K5" i="6"/>
  <c r="L4" i="6"/>
  <c r="K4" i="6"/>
  <c r="L3" i="6"/>
  <c r="K3" i="6"/>
  <c r="K25" i="5"/>
  <c r="F25" i="5"/>
  <c r="K24" i="5"/>
  <c r="F24" i="5"/>
  <c r="K23" i="5"/>
  <c r="F23" i="5"/>
  <c r="F22" i="5"/>
  <c r="K22" i="5" s="1"/>
  <c r="L22" i="5" s="1"/>
  <c r="F16" i="1" s="1"/>
  <c r="K21" i="5"/>
  <c r="L21" i="5" s="1"/>
  <c r="F14" i="1" s="1"/>
  <c r="F15" i="1" s="1"/>
  <c r="F21" i="5"/>
  <c r="L20" i="5"/>
  <c r="K20" i="5"/>
  <c r="K19" i="5"/>
  <c r="F19" i="5"/>
  <c r="K18" i="5"/>
  <c r="F18" i="5"/>
  <c r="K17" i="5"/>
  <c r="F16" i="5"/>
  <c r="K16" i="5" s="1"/>
  <c r="F15" i="5"/>
  <c r="K15" i="5" s="1"/>
  <c r="F14" i="5"/>
  <c r="K14" i="5" s="1"/>
  <c r="F13" i="5"/>
  <c r="K13" i="5" s="1"/>
  <c r="F12" i="5"/>
  <c r="K12" i="5" s="1"/>
  <c r="F11" i="5"/>
  <c r="K11" i="5" s="1"/>
  <c r="F10" i="5"/>
  <c r="K10" i="5" s="1"/>
  <c r="K9" i="5"/>
  <c r="F9" i="5"/>
  <c r="F8" i="5"/>
  <c r="K8" i="5" s="1"/>
  <c r="L8" i="5" s="1"/>
  <c r="F8" i="1" s="1"/>
  <c r="K7" i="5"/>
  <c r="L7" i="5" s="1"/>
  <c r="F7" i="1" s="1"/>
  <c r="F7" i="5"/>
  <c r="K6" i="5"/>
  <c r="F6" i="5"/>
  <c r="F5" i="5"/>
  <c r="K5" i="5" s="1"/>
  <c r="L5" i="5" s="1"/>
  <c r="F5" i="1" s="1"/>
  <c r="F4" i="5"/>
  <c r="K4" i="5" s="1"/>
  <c r="K3" i="5"/>
  <c r="L3" i="5" s="1"/>
  <c r="F4" i="1" s="1"/>
  <c r="F3" i="5"/>
  <c r="F16" i="4"/>
  <c r="K16" i="4" s="1"/>
  <c r="L16" i="4" s="1"/>
  <c r="E16" i="1" s="1"/>
  <c r="F15" i="4"/>
  <c r="K15" i="4" s="1"/>
  <c r="L13" i="4" s="1"/>
  <c r="E13" i="1" s="1"/>
  <c r="H13" i="1" s="1"/>
  <c r="K14" i="4"/>
  <c r="K13" i="4"/>
  <c r="K12" i="4"/>
  <c r="K11" i="4"/>
  <c r="L11" i="4" s="1"/>
  <c r="E12" i="1" s="1"/>
  <c r="E15" i="1" s="1"/>
  <c r="K10" i="4"/>
  <c r="L10" i="4" s="1"/>
  <c r="E9" i="1" s="1"/>
  <c r="F10" i="4"/>
  <c r="F9" i="4"/>
  <c r="K9" i="4" s="1"/>
  <c r="L9" i="4" s="1"/>
  <c r="E8" i="1" s="1"/>
  <c r="K8" i="4"/>
  <c r="F7" i="4"/>
  <c r="K7" i="4" s="1"/>
  <c r="L7" i="4" s="1"/>
  <c r="E7" i="1" s="1"/>
  <c r="K6" i="4"/>
  <c r="F5" i="4"/>
  <c r="K5" i="4" s="1"/>
  <c r="L5" i="4" s="1"/>
  <c r="E5" i="1" s="1"/>
  <c r="K4" i="4"/>
  <c r="F3" i="4"/>
  <c r="K3" i="4" s="1"/>
  <c r="L3" i="4" s="1"/>
  <c r="E4" i="1" s="1"/>
  <c r="F49" i="3"/>
  <c r="K49" i="3" s="1"/>
  <c r="F48" i="3"/>
  <c r="K48" i="3" s="1"/>
  <c r="F47" i="3"/>
  <c r="K47" i="3" s="1"/>
  <c r="F46" i="3"/>
  <c r="K46" i="3" s="1"/>
  <c r="F45" i="3"/>
  <c r="K45" i="3" s="1"/>
  <c r="F44" i="3"/>
  <c r="K44" i="3" s="1"/>
  <c r="F43" i="3"/>
  <c r="K43" i="3" s="1"/>
  <c r="F42" i="3"/>
  <c r="K42" i="3" s="1"/>
  <c r="F41" i="3"/>
  <c r="K41" i="3" s="1"/>
  <c r="F40" i="3"/>
  <c r="K40" i="3" s="1"/>
  <c r="F39" i="3"/>
  <c r="K39" i="3" s="1"/>
  <c r="F38" i="3"/>
  <c r="K38" i="3" s="1"/>
  <c r="F37" i="3"/>
  <c r="K37" i="3" s="1"/>
  <c r="F36" i="3"/>
  <c r="K36" i="3" s="1"/>
  <c r="K35" i="3"/>
  <c r="F35" i="3"/>
  <c r="F34" i="3"/>
  <c r="K34" i="3" s="1"/>
  <c r="K33" i="3"/>
  <c r="F33" i="3"/>
  <c r="F32" i="3"/>
  <c r="K32" i="3" s="1"/>
  <c r="F31" i="3"/>
  <c r="K31" i="3" s="1"/>
  <c r="F30" i="3"/>
  <c r="K30" i="3" s="1"/>
  <c r="F29" i="3"/>
  <c r="K29" i="3" s="1"/>
  <c r="F28" i="3"/>
  <c r="K28" i="3" s="1"/>
  <c r="F27" i="3"/>
  <c r="K27" i="3" s="1"/>
  <c r="F26" i="3"/>
  <c r="K26" i="3" s="1"/>
  <c r="F25" i="3"/>
  <c r="K25" i="3" s="1"/>
  <c r="K24" i="3"/>
  <c r="F24" i="3"/>
  <c r="K23" i="3"/>
  <c r="F23" i="3"/>
  <c r="K22" i="3"/>
  <c r="F22" i="3"/>
  <c r="K21" i="3"/>
  <c r="F21" i="3"/>
  <c r="K20" i="3"/>
  <c r="F20" i="3"/>
  <c r="F19" i="3"/>
  <c r="K19" i="3" s="1"/>
  <c r="F18" i="3"/>
  <c r="K18" i="3" s="1"/>
  <c r="F17" i="3"/>
  <c r="K17" i="3" s="1"/>
  <c r="F16" i="3"/>
  <c r="K16" i="3" s="1"/>
  <c r="K15" i="3"/>
  <c r="L15" i="3" s="1"/>
  <c r="D8" i="1" s="1"/>
  <c r="F15" i="3"/>
  <c r="K14" i="3"/>
  <c r="F14" i="3"/>
  <c r="K13" i="3"/>
  <c r="F13" i="3"/>
  <c r="F12" i="3"/>
  <c r="K12" i="3" s="1"/>
  <c r="F11" i="3"/>
  <c r="K11" i="3" s="1"/>
  <c r="L11" i="3" s="1"/>
  <c r="D7" i="1" s="1"/>
  <c r="F10" i="3"/>
  <c r="K10" i="3" s="1"/>
  <c r="F9" i="3"/>
  <c r="K9" i="3" s="1"/>
  <c r="F8" i="3"/>
  <c r="K8" i="3" s="1"/>
  <c r="K7" i="3"/>
  <c r="F7" i="3"/>
  <c r="K6" i="3"/>
  <c r="F6" i="3"/>
  <c r="K5" i="3"/>
  <c r="F5" i="3"/>
  <c r="K4" i="3"/>
  <c r="F4" i="3"/>
  <c r="F3" i="3"/>
  <c r="K3" i="3" s="1"/>
  <c r="L3" i="3" s="1"/>
  <c r="D4" i="1" s="1"/>
  <c r="K13" i="2"/>
  <c r="K12" i="2"/>
  <c r="K11" i="2"/>
  <c r="K10" i="2"/>
  <c r="K9" i="2"/>
  <c r="K8" i="2"/>
  <c r="K7" i="2"/>
  <c r="L7" i="2" s="1"/>
  <c r="C19" i="1" s="1"/>
  <c r="H19" i="1" s="1"/>
  <c r="K6" i="2"/>
  <c r="K5" i="2"/>
  <c r="K4" i="2"/>
  <c r="L3" i="2"/>
  <c r="K3" i="2"/>
  <c r="C18" i="1"/>
  <c r="H18" i="1" s="1"/>
  <c r="I18" i="1" s="1"/>
  <c r="G15" i="1"/>
  <c r="C15" i="1"/>
  <c r="F12" i="1"/>
  <c r="C10" i="1"/>
  <c r="G6" i="1"/>
  <c r="C6" i="1"/>
  <c r="G5" i="1"/>
  <c r="G4" i="1"/>
  <c r="H8" i="1" l="1"/>
  <c r="H4" i="1"/>
  <c r="L7" i="3"/>
  <c r="D5" i="1" s="1"/>
  <c r="H5" i="1" s="1"/>
  <c r="H7" i="1"/>
  <c r="L24" i="3"/>
  <c r="D11" i="1" s="1"/>
  <c r="L32" i="3"/>
  <c r="D12" i="1" s="1"/>
  <c r="H12" i="1" s="1"/>
  <c r="E6" i="1"/>
  <c r="E10" i="1"/>
  <c r="F6" i="1"/>
  <c r="L18" i="3"/>
  <c r="D9" i="1" s="1"/>
  <c r="H9" i="1" s="1"/>
  <c r="L35" i="3"/>
  <c r="D14" i="1" s="1"/>
  <c r="H14" i="1" s="1"/>
  <c r="L47" i="3"/>
  <c r="D16" i="1" s="1"/>
  <c r="H16" i="1" s="1"/>
  <c r="I16" i="1" s="1"/>
  <c r="L9" i="5"/>
  <c r="F9" i="1" s="1"/>
  <c r="F10" i="1" s="1"/>
  <c r="I7" i="1" l="1"/>
  <c r="I4" i="1"/>
  <c r="D10" i="1"/>
  <c r="D15" i="1"/>
  <c r="H11" i="1"/>
  <c r="I11" i="1" s="1"/>
  <c r="D6" i="1"/>
  <c r="I20" i="1" l="1"/>
  <c r="J7" i="1" s="1"/>
  <c r="J18" i="1" l="1"/>
  <c r="J16" i="1"/>
  <c r="J11" i="1"/>
  <c r="J4" i="1"/>
</calcChain>
</file>

<file path=xl/sharedStrings.xml><?xml version="1.0" encoding="utf-8"?>
<sst xmlns="http://schemas.openxmlformats.org/spreadsheetml/2006/main" count="919" uniqueCount="379">
  <si>
    <t>Summary of emissions (kgCO2e)</t>
  </si>
  <si>
    <t>Stage</t>
  </si>
  <si>
    <t>Activity</t>
  </si>
  <si>
    <t>Emissions Type</t>
  </si>
  <si>
    <t>Total emissions</t>
  </si>
  <si>
    <t>Hardware manufacturing + Repair</t>
  </si>
  <si>
    <t>Transportation + Distribution</t>
  </si>
  <si>
    <t>Energy Usage</t>
  </si>
  <si>
    <t>Additional Resources</t>
  </si>
  <si>
    <t>Accommodation</t>
  </si>
  <si>
    <t>Per Activity</t>
  </si>
  <si>
    <t>Per Stage</t>
  </si>
  <si>
    <t>As a percentage</t>
  </si>
  <si>
    <t>Aptis placement testing</t>
  </si>
  <si>
    <t>Delivering testing (2023)</t>
  </si>
  <si>
    <t>Delivering testing (2024)</t>
  </si>
  <si>
    <t>Totals (Aptis testing)</t>
  </si>
  <si>
    <t>Stage 1 - Intensive training</t>
  </si>
  <si>
    <t>ETT online training</t>
  </si>
  <si>
    <t>On-site induction</t>
  </si>
  <si>
    <t>Delivering face-to-face training</t>
  </si>
  <si>
    <t>Totals (Stage 1)</t>
  </si>
  <si>
    <t>Stage 2 - Online training</t>
  </si>
  <si>
    <t>Hardware procurement</t>
  </si>
  <si>
    <t>Online training for eTMs</t>
  </si>
  <si>
    <t>Delivering online training</t>
  </si>
  <si>
    <t>Hardware return and replacement</t>
  </si>
  <si>
    <t>Totals (Stage 2)</t>
  </si>
  <si>
    <t>Stage 3 - Continuing professional development</t>
  </si>
  <si>
    <t>SBM training</t>
  </si>
  <si>
    <t>Hardware capital investment</t>
  </si>
  <si>
    <t>Total</t>
  </si>
  <si>
    <t>Hardware Manufacturing and Repair</t>
  </si>
  <si>
    <t>Component</t>
  </si>
  <si>
    <t>Programme
Activity</t>
  </si>
  <si>
    <t>Category</t>
  </si>
  <si>
    <t>Unit name</t>
  </si>
  <si>
    <t>Unit</t>
  </si>
  <si>
    <t>Data</t>
  </si>
  <si>
    <t>Unit of measurement for EF conversion</t>
  </si>
  <si>
    <t>Calculation notes</t>
  </si>
  <si>
    <t>Emission Factor / Conversion</t>
  </si>
  <si>
    <t>Tool used / Conversion notes</t>
  </si>
  <si>
    <t>Equivalent emissions (kgCO2e)</t>
  </si>
  <si>
    <t>Totals (per activity / component)</t>
  </si>
  <si>
    <t>Manufacturing newly procured items</t>
  </si>
  <si>
    <t>Samsung Galaxy A7 Lite 8.7 Tablet (T225)</t>
  </si>
  <si>
    <t>units</t>
  </si>
  <si>
    <t>kgCO2e/unit</t>
  </si>
  <si>
    <t>3200 units total</t>
  </si>
  <si>
    <t>HCC emission factor for Tablets (capital goods)</t>
  </si>
  <si>
    <t>Headphones</t>
  </si>
  <si>
    <t>weight (tonnes)</t>
  </si>
  <si>
    <t>kgCO2e/tonne</t>
  </si>
  <si>
    <r>
      <rPr>
        <sz val="10"/>
        <rFont val="Lato"/>
      </rPr>
      <t xml:space="preserve">3200 units, estimated weight </t>
    </r>
    <r>
      <rPr>
        <u/>
        <sz val="10"/>
        <color rgb="FF1155CC"/>
        <rFont val="Lato"/>
      </rPr>
      <t>per unit 12g</t>
    </r>
  </si>
  <si>
    <t>UK Gov emission factor for Electrical items - small</t>
  </si>
  <si>
    <t>Screen protectors</t>
  </si>
  <si>
    <r>
      <rPr>
        <sz val="10"/>
        <rFont val="Lato"/>
      </rPr>
      <t xml:space="preserve">3200 units, estimated weight for </t>
    </r>
    <r>
      <rPr>
        <u/>
        <sz val="10"/>
        <color rgb="FF1155CC"/>
        <rFont val="Lato"/>
      </rPr>
      <t>tempered glass unit 150g</t>
    </r>
  </si>
  <si>
    <t>UK Gov emission factor for "Other - Glass"</t>
  </si>
  <si>
    <t>Samsung Galaxy A7 Lite 8.7 Tablet (T225) Chargers</t>
  </si>
  <si>
    <r>
      <rPr>
        <sz val="10"/>
        <rFont val="Lato"/>
      </rPr>
      <t>3200 units, estimated weight per unit 30 grams (</t>
    </r>
    <r>
      <rPr>
        <u/>
        <sz val="10"/>
        <color rgb="FF1155CC"/>
        <rFont val="Lato"/>
      </rPr>
      <t>20g adapter</t>
    </r>
    <r>
      <rPr>
        <sz val="10"/>
        <rFont val="Lato"/>
      </rPr>
      <t xml:space="preserve"> + </t>
    </r>
    <r>
      <rPr>
        <u/>
        <sz val="10"/>
        <color rgb="FF1155CC"/>
        <rFont val="Lato"/>
      </rPr>
      <t>10g cable</t>
    </r>
    <r>
      <rPr>
        <sz val="10"/>
        <rFont val="Lato"/>
      </rPr>
      <t>)</t>
    </r>
  </si>
  <si>
    <t>1.3% replacement rate per year</t>
  </si>
  <si>
    <t>100% replacement rate per year, 6700 units, estimated weight per unit 12g</t>
  </si>
  <si>
    <t>17% replacement rate per year, 1141 units, estimated weight per unit 150g</t>
  </si>
  <si>
    <t>100% replacement rate per year, 6700 units, estimated weight per unit 30g</t>
  </si>
  <si>
    <t>Tablet repair</t>
  </si>
  <si>
    <t>Screen damanged tablets</t>
  </si>
  <si>
    <t>1.5% replacement rate per year, 102 units, estimated weight per unit 50g</t>
  </si>
  <si>
    <t>Not charging tablets</t>
  </si>
  <si>
    <t>1% rate per year. Assumption that all not charging tablets are replaced.</t>
  </si>
  <si>
    <t>Software Update</t>
  </si>
  <si>
    <t>Webex and gmail software package installed</t>
  </si>
  <si>
    <t>cost (USD)</t>
  </si>
  <si>
    <t>kgCO2e/USD</t>
  </si>
  <si>
    <t>Updated annually on each tablet, 9600 software updates (total)</t>
  </si>
  <si>
    <t>EPA emissions factor for "consumer_goods-type_software"</t>
  </si>
  <si>
    <t>Transportation and Distribution</t>
  </si>
  <si>
    <t>Tool used</t>
  </si>
  <si>
    <t>Totals per activity</t>
  </si>
  <si>
    <t>Aptis Placement Testing</t>
  </si>
  <si>
    <t>Delivering Testing (2023)</t>
  </si>
  <si>
    <t>Participant travel</t>
  </si>
  <si>
    <t>Walking</t>
  </si>
  <si>
    <t>total distance (km)</t>
  </si>
  <si>
    <t>kgCO2e/km</t>
  </si>
  <si>
    <r>
      <rPr>
        <sz val="10"/>
        <rFont val="Lato"/>
      </rPr>
      <t xml:space="preserve">3619 participants (79% rural, 12% peri-urban, 9% urban). Each participant makes one return journey to their TTC. </t>
    </r>
    <r>
      <rPr>
        <u/>
        <sz val="10"/>
        <color rgb="FF1155CC"/>
        <rFont val="Lato"/>
      </rPr>
      <t>Using average TTC journey example.</t>
    </r>
  </si>
  <si>
    <t>HCC emissions factor for "Walking, biking, work from home"</t>
  </si>
  <si>
    <t>Moto-taxi</t>
  </si>
  <si>
    <r>
      <rPr>
        <sz val="10"/>
        <rFont val="Lato"/>
      </rPr>
      <t xml:space="preserve">3619 participants (79% rural, 12% peri-urban, 9% urban). Each participant makes one return journey to their TTC. </t>
    </r>
    <r>
      <rPr>
        <u/>
        <sz val="10"/>
        <color rgb="FF1155CC"/>
        <rFont val="Lato"/>
      </rPr>
      <t>Using average TTC journey example.</t>
    </r>
  </si>
  <si>
    <t>UK Gov emissions factor for "Motorbike - Small"</t>
  </si>
  <si>
    <t>Public bus</t>
  </si>
  <si>
    <t>distance (km) x passengers (n)</t>
  </si>
  <si>
    <t>kgCO2e/passenger.km</t>
  </si>
  <si>
    <r>
      <rPr>
        <sz val="10"/>
        <rFont val="Lato"/>
      </rPr>
      <t xml:space="preserve">3619 participants (79% rural, 12% peri-urban, 9% urban). Each participant makes one return journey to their TTC. </t>
    </r>
    <r>
      <rPr>
        <u/>
        <sz val="10"/>
        <color rgb="FF1155CC"/>
        <rFont val="Lato"/>
      </rPr>
      <t>Using average TTC journey example.</t>
    </r>
  </si>
  <si>
    <t>UK Gov emissions factor for "Bus - Average Local Bus"</t>
  </si>
  <si>
    <t>Invigilator travel</t>
  </si>
  <si>
    <t>Toyota Land Cruiser Prado 2008 (diesel) (4x4)</t>
  </si>
  <si>
    <r>
      <rPr>
        <sz val="10"/>
        <rFont val="Lato"/>
      </rPr>
      <t>8 invigilators (one for each TTC) make 4 return journeys from Kigali (</t>
    </r>
    <r>
      <rPr>
        <u/>
        <sz val="10"/>
        <color rgb="FF1155CC"/>
        <rFont val="Lato"/>
      </rPr>
      <t>using average journey distance</t>
    </r>
    <r>
      <rPr>
        <sz val="10"/>
        <rFont val="Lato"/>
      </rPr>
      <t>). Each invigilator also makes eight return journeys from their hotel across all weekends (</t>
    </r>
    <r>
      <rPr>
        <u/>
        <sz val="10"/>
        <color rgb="FF1155CC"/>
        <rFont val="Lato"/>
      </rPr>
      <t>using average journey distance</t>
    </r>
    <r>
      <rPr>
        <sz val="10"/>
        <rFont val="Lato"/>
      </rPr>
      <t>).</t>
    </r>
  </si>
  <si>
    <t>UK Gov emissions factor for "Cars - Dual purpose 4x4 Diesel"</t>
  </si>
  <si>
    <t>Delivering Testing (2024)</t>
  </si>
  <si>
    <r>
      <rPr>
        <sz val="10"/>
        <rFont val="Lato"/>
      </rPr>
      <t xml:space="preserve">3059 participants (79% rural, 12% peri-urban, 9% urban). Each participant makes one return journey to their TTC. </t>
    </r>
    <r>
      <rPr>
        <u/>
        <sz val="10"/>
        <color rgb="FF1155CC"/>
        <rFont val="Lato"/>
      </rPr>
      <t>Using average TTC journey example.</t>
    </r>
  </si>
  <si>
    <r>
      <rPr>
        <sz val="10"/>
        <rFont val="Lato"/>
      </rPr>
      <t xml:space="preserve">3059 participants (79% rural, 12% peri-urban, 9% urban). Each participant makes one return journey to their TTC. </t>
    </r>
    <r>
      <rPr>
        <u/>
        <sz val="10"/>
        <color rgb="FF1155CC"/>
        <rFont val="Lato"/>
      </rPr>
      <t>Using average TTC journey example.</t>
    </r>
  </si>
  <si>
    <r>
      <rPr>
        <sz val="10"/>
        <rFont val="Lato"/>
      </rPr>
      <t xml:space="preserve">3059 participants (79% rural, 12% peri-urban, 9% urban). Each participant makes one return journey to their TTC. </t>
    </r>
    <r>
      <rPr>
        <u/>
        <sz val="10"/>
        <color rgb="FF1155CC"/>
        <rFont val="Lato"/>
      </rPr>
      <t>Using average TTC journey example.</t>
    </r>
  </si>
  <si>
    <r>
      <rPr>
        <sz val="10"/>
        <rFont val="Lato"/>
      </rPr>
      <t>6 invigilators (one for each TTC) make 4 return journeys from Kigali (</t>
    </r>
    <r>
      <rPr>
        <u/>
        <sz val="10"/>
        <color rgb="FF1155CC"/>
        <rFont val="Lato"/>
      </rPr>
      <t>using average journey distance</t>
    </r>
    <r>
      <rPr>
        <sz val="10"/>
        <rFont val="Lato"/>
      </rPr>
      <t>). Each invigilator also makes eight return journeys from their hotel across all weekends (</t>
    </r>
    <r>
      <rPr>
        <u/>
        <sz val="10"/>
        <color rgb="FF1155CC"/>
        <rFont val="Lato"/>
      </rPr>
      <t>using average journey distance</t>
    </r>
    <r>
      <rPr>
        <sz val="10"/>
        <rFont val="Lato"/>
      </rPr>
      <t>).</t>
    </r>
  </si>
  <si>
    <t>Stage 1 - Intensive Training</t>
  </si>
  <si>
    <t>English Teacher Trainers Online Training</t>
  </si>
  <si>
    <r>
      <rPr>
        <sz val="10"/>
        <rFont val="Lato"/>
      </rPr>
      <t xml:space="preserve">60 participants (79% rural, 12% peri-urban, 9% urban). Each participant makes three return journeys to their TTC. </t>
    </r>
    <r>
      <rPr>
        <u/>
        <sz val="10"/>
        <color rgb="FF1155CC"/>
        <rFont val="Lato"/>
      </rPr>
      <t>Using average TTC journey example.</t>
    </r>
  </si>
  <si>
    <r>
      <rPr>
        <sz val="10"/>
        <rFont val="Lato"/>
      </rPr>
      <t xml:space="preserve">60 participants (79% rural, 12% peri-urban, 9% urban). Each participant makes three return journeys to their TTC. </t>
    </r>
    <r>
      <rPr>
        <u/>
        <sz val="10"/>
        <color rgb="FF1155CC"/>
        <rFont val="Lato"/>
      </rPr>
      <t>Using average TTC journey example.</t>
    </r>
  </si>
  <si>
    <r>
      <rPr>
        <sz val="10"/>
        <rFont val="Lato"/>
      </rPr>
      <t xml:space="preserve">60 participants (79% rural, 12% peri-urban, 9% urban). Each participant makes three return journeys to their TTC. </t>
    </r>
    <r>
      <rPr>
        <u/>
        <sz val="10"/>
        <color rgb="FF1155CC"/>
        <rFont val="Lato"/>
      </rPr>
      <t>Using average TTC journey example.</t>
    </r>
  </si>
  <si>
    <t>Consultant travel</t>
  </si>
  <si>
    <r>
      <rPr>
        <sz val="10"/>
        <rFont val="Lato"/>
      </rPr>
      <t>8 SETTs or consultants (one for each TTC) make 3 return journeys from Kigali (</t>
    </r>
    <r>
      <rPr>
        <u/>
        <sz val="10"/>
        <color rgb="FF1155CC"/>
        <rFont val="Lato"/>
      </rPr>
      <t>using average journey distance</t>
    </r>
    <r>
      <rPr>
        <sz val="10"/>
        <rFont val="Lato"/>
      </rPr>
      <t>).</t>
    </r>
  </si>
  <si>
    <t>On-Site Induction</t>
  </si>
  <si>
    <r>
      <rPr>
        <sz val="10"/>
        <rFont val="Lato"/>
      </rPr>
      <t xml:space="preserve">57 participants in 8 districts (79% rural, 12% peri-urban, 9% urban). Each participant makes one return journeys to their TTC. </t>
    </r>
    <r>
      <rPr>
        <u/>
        <sz val="10"/>
        <color rgb="FF1155CC"/>
        <rFont val="Lato"/>
      </rPr>
      <t>Using average TTC journey example.</t>
    </r>
  </si>
  <si>
    <r>
      <rPr>
        <sz val="10"/>
        <rFont val="Lato"/>
      </rPr>
      <t xml:space="preserve">57 participants in 8 districts (79% rural, 12% peri-urban, 9% urban). Each participant makes one return journeys to their TTC. </t>
    </r>
    <r>
      <rPr>
        <u/>
        <sz val="10"/>
        <color rgb="FF1155CC"/>
        <rFont val="Lato"/>
      </rPr>
      <t>Using average TTC journey example.</t>
    </r>
  </si>
  <si>
    <r>
      <rPr>
        <sz val="10"/>
        <rFont val="Lato"/>
      </rPr>
      <t xml:space="preserve">57 participants in 8 districts (79% rural, 12% peri-urban, 9% urban). Each participant makes one return journeys to their TTC. </t>
    </r>
    <r>
      <rPr>
        <u/>
        <sz val="10"/>
        <color rgb="FF1155CC"/>
        <rFont val="Lato"/>
      </rPr>
      <t>Using average TTC journey example.</t>
    </r>
  </si>
  <si>
    <t>Delivering intensive face-to-face training</t>
  </si>
  <si>
    <r>
      <rPr>
        <sz val="10"/>
        <rFont val="Lato"/>
      </rPr>
      <t xml:space="preserve">6700 participants total in 14 districts (79% rural, 12% peri-urban, 9% urban). Each participant makes one return journey to their TTC. </t>
    </r>
    <r>
      <rPr>
        <u/>
        <sz val="10"/>
        <color rgb="FF1155CC"/>
        <rFont val="Lato"/>
      </rPr>
      <t>Using average TTC journey example.</t>
    </r>
  </si>
  <si>
    <r>
      <rPr>
        <sz val="10"/>
        <rFont val="Lato"/>
      </rPr>
      <t xml:space="preserve">6700 participants total in 14 districts (79% rural, 12% peri-urban, 9% urban). Each participant makes one return journeys to their TTC. </t>
    </r>
    <r>
      <rPr>
        <u/>
        <sz val="10"/>
        <color rgb="FF1155CC"/>
        <rFont val="Lato"/>
      </rPr>
      <t>Using average TTC journey example.</t>
    </r>
  </si>
  <si>
    <r>
      <rPr>
        <sz val="10"/>
        <rFont val="Lato"/>
      </rPr>
      <t xml:space="preserve">6700 participants total in 14 districts (79% rural, 12% peri-urban, 9% urban). Each participant makes one return journeys to their TTC. </t>
    </r>
    <r>
      <rPr>
        <u/>
        <sz val="10"/>
        <color rgb="FF1155CC"/>
        <rFont val="Lato"/>
      </rPr>
      <t>Using average TTC journey example.</t>
    </r>
  </si>
  <si>
    <t xml:space="preserve">Consultant / Trainers travel
</t>
  </si>
  <si>
    <r>
      <rPr>
        <sz val="10"/>
        <rFont val="Lato"/>
      </rPr>
      <t xml:space="preserve">8 SETTs make three return journeys via bus to Kigali before / after training across the whole programme. </t>
    </r>
    <r>
      <rPr>
        <u/>
        <sz val="10"/>
        <color rgb="FF1155CC"/>
        <rFont val="Lato"/>
      </rPr>
      <t>Using average distance between each TTC and Kigali</t>
    </r>
    <r>
      <rPr>
        <sz val="10"/>
        <rFont val="Lato"/>
      </rPr>
      <t xml:space="preserve"> for a proxy of one-way travel length.</t>
    </r>
  </si>
  <si>
    <r>
      <rPr>
        <sz val="10"/>
        <rFont val="Lato"/>
      </rPr>
      <t>In each district (8 in year 1, 14 in year 2), 16 external and senior consultants make two return journeys across the first two years from Kigali, with 8 consultants making a return journey to a TTC in the final year (</t>
    </r>
    <r>
      <rPr>
        <u/>
        <sz val="10"/>
        <color rgb="FF1155CC"/>
        <rFont val="Lato"/>
      </rPr>
      <t>using average journey distance</t>
    </r>
    <r>
      <rPr>
        <sz val="10"/>
        <rFont val="Lato"/>
      </rPr>
      <t>).  8 external consultants consultants make 20 return journeys from their hotel across the programme, 8 senior consultants and 60 trainers (2 vehicles per district) make 30 return journeys from their hotel across the whole programme (</t>
    </r>
    <r>
      <rPr>
        <u/>
        <sz val="10"/>
        <color rgb="FF1155CC"/>
        <rFont val="Lato"/>
      </rPr>
      <t>using average journey distance</t>
    </r>
    <r>
      <rPr>
        <sz val="10"/>
        <rFont val="Lato"/>
      </rPr>
      <t>).</t>
    </r>
  </si>
  <si>
    <t>Air travel</t>
  </si>
  <si>
    <t>kgCO2e</t>
  </si>
  <si>
    <t>12 international return journeys in total for 6 consultants. 2 reutrn journeys from London (LHR) with 2 consultants on each flight, 2 return journeys from Malaga (AGP), 2 return journeys from Bilbao (BIO), 2 journeys from Portugal (LIS), and 2 journeys from Singapore Changi (SIN). All flights assumed arrival in KGL and economy class.</t>
  </si>
  <si>
    <t>13251kgCO2e for UK return journeys.
8707 kgCO2e for Singapore return journeys.
5916 kgCO2e for Bilbao return journeys.
5673 kgCO2e for Portugal return journeys.
5400 kgCO2e for Malaga return journeys.</t>
  </si>
  <si>
    <r>
      <rPr>
        <sz val="10"/>
        <rFont val="Lato"/>
      </rPr>
      <t xml:space="preserve">Emissions calculated using </t>
    </r>
    <r>
      <rPr>
        <u/>
        <sz val="10"/>
        <color rgb="FF1155CC"/>
        <rFont val="Lato"/>
      </rPr>
      <t>Atmosfair calculator</t>
    </r>
    <r>
      <rPr>
        <sz val="10"/>
        <rFont val="Lato"/>
      </rPr>
      <t xml:space="preserve">. </t>
    </r>
    <r>
      <rPr>
        <u/>
        <sz val="10"/>
        <color rgb="FF1155CC"/>
        <rFont val="Lato"/>
      </rPr>
      <t>This page</t>
    </r>
    <r>
      <rPr>
        <sz val="10"/>
        <rFont val="Lato"/>
      </rPr>
      <t xml:space="preserve"> details how the tool calculates emissions. </t>
    </r>
  </si>
  <si>
    <t>Stage 2 - Online Training</t>
  </si>
  <si>
    <t>Hardware distribution</t>
  </si>
  <si>
    <t>Shipping (tablets)</t>
  </si>
  <si>
    <t>total weight (tonnes) x distance (km)</t>
  </si>
  <si>
    <t>kgCO2e/ton.km</t>
  </si>
  <si>
    <r>
      <rPr>
        <sz val="10"/>
        <rFont val="Lato,Arial"/>
      </rPr>
      <t>Assumed shipping from Vietnam to Dubai (</t>
    </r>
    <r>
      <rPr>
        <u/>
        <sz val="10"/>
        <color rgb="FF1155CC"/>
        <rFont val="Lato,Arial"/>
      </rPr>
      <t>11,183km</t>
    </r>
    <r>
      <rPr>
        <sz val="10"/>
        <rFont val="Lato,Arial"/>
      </rPr>
      <t xml:space="preserve">), 3200 tablets (each weighing </t>
    </r>
    <r>
      <rPr>
        <u/>
        <sz val="10"/>
        <color rgb="FF1155CC"/>
        <rFont val="Lato,Arial"/>
      </rPr>
      <t>371g</t>
    </r>
    <r>
      <rPr>
        <sz val="10"/>
        <rFont val="Lato,Arial"/>
      </rPr>
      <t>)</t>
    </r>
  </si>
  <si>
    <t>HCC emissions factor for "Container ship - Asia to and from Middle East / India"</t>
  </si>
  <si>
    <t>Shipping (headphones)</t>
  </si>
  <si>
    <r>
      <rPr>
        <sz val="10"/>
        <rFont val="Lato"/>
      </rPr>
      <t>Assumed shipping from Vietnam to Dubai (</t>
    </r>
    <r>
      <rPr>
        <u/>
        <sz val="10"/>
        <color rgb="FF1155CC"/>
        <rFont val="Lato"/>
      </rPr>
      <t>11,183km</t>
    </r>
    <r>
      <rPr>
        <sz val="10"/>
        <rFont val="Lato"/>
      </rPr>
      <t>), 3200 units (total weight 0.0384 tons - see previous tab)</t>
    </r>
  </si>
  <si>
    <t>Shipping (screen protectors)</t>
  </si>
  <si>
    <r>
      <rPr>
        <sz val="10"/>
        <rFont val="Lato"/>
      </rPr>
      <t>Assumed shipping from Vietnam to Dubai (</t>
    </r>
    <r>
      <rPr>
        <u/>
        <sz val="10"/>
        <color rgb="FF1155CC"/>
        <rFont val="Lato"/>
      </rPr>
      <t>11,183km</t>
    </r>
    <r>
      <rPr>
        <sz val="10"/>
        <rFont val="Lato"/>
      </rPr>
      <t>), 3200 units (total weight 0.48 tons - see previous tab)</t>
    </r>
  </si>
  <si>
    <t>Shipping (chargers)</t>
  </si>
  <si>
    <r>
      <rPr>
        <sz val="10"/>
        <rFont val="Lato"/>
      </rPr>
      <t>Assumed shipping from Vietnam to Dubai (</t>
    </r>
    <r>
      <rPr>
        <u/>
        <sz val="10"/>
        <color rgb="FF1155CC"/>
        <rFont val="Lato"/>
      </rPr>
      <t>11,183km</t>
    </r>
    <r>
      <rPr>
        <sz val="10"/>
        <rFont val="Lato"/>
      </rPr>
      <t>), 3200 units (total weight 0.096 tons - see previous tab)</t>
    </r>
  </si>
  <si>
    <t>Air freight (tablets)</t>
  </si>
  <si>
    <r>
      <rPr>
        <sz val="10"/>
        <rFont val="Lato"/>
      </rPr>
      <t>Assumed air freight from DXB to KGL (</t>
    </r>
    <r>
      <rPr>
        <u/>
        <sz val="10"/>
        <color rgb="FF1155CC"/>
        <rFont val="Lato"/>
      </rPr>
      <t>4,058km</t>
    </r>
    <r>
      <rPr>
        <sz val="10"/>
        <rFont val="Lato"/>
      </rPr>
      <t>), 3200 tablets (each weighing 371g)</t>
    </r>
  </si>
  <si>
    <t>HCC emissions factor for "Long haul &lt; 3700km"</t>
  </si>
  <si>
    <t>Air freight (headphones)</t>
  </si>
  <si>
    <r>
      <rPr>
        <sz val="10"/>
        <rFont val="Lato"/>
      </rPr>
      <t>Assumed air freight from DXB to KGL (</t>
    </r>
    <r>
      <rPr>
        <u/>
        <sz val="10"/>
        <color rgb="FF1155CC"/>
        <rFont val="Lato"/>
      </rPr>
      <t>4,058km</t>
    </r>
    <r>
      <rPr>
        <sz val="10"/>
        <rFont val="Lato"/>
      </rPr>
      <t>), 3200 units (total weight 0.0384 tons - see previous tab)</t>
    </r>
  </si>
  <si>
    <t>Air freight (screen protectors)</t>
  </si>
  <si>
    <r>
      <rPr>
        <sz val="10"/>
        <rFont val="Lato"/>
      </rPr>
      <t>Assumed air freight from DXB to KGL (</t>
    </r>
    <r>
      <rPr>
        <u/>
        <sz val="10"/>
        <color rgb="FF1155CC"/>
        <rFont val="Lato"/>
      </rPr>
      <t>4,058km</t>
    </r>
    <r>
      <rPr>
        <sz val="10"/>
        <rFont val="Lato"/>
      </rPr>
      <t>), 3200 units (total weight 0.48 tons - see previous tab)</t>
    </r>
  </si>
  <si>
    <t>Air frieght (chargers)</t>
  </si>
  <si>
    <r>
      <rPr>
        <sz val="10"/>
        <rFont val="Lato"/>
      </rPr>
      <t>Assumed air freight from DXB to KGL (</t>
    </r>
    <r>
      <rPr>
        <u/>
        <sz val="10"/>
        <color rgb="FF1155CC"/>
        <rFont val="Lato"/>
      </rPr>
      <t>4,058km</t>
    </r>
    <r>
      <rPr>
        <sz val="10"/>
        <rFont val="Lato"/>
      </rPr>
      <t>), 3200 units (total weight 0.096 tons - see previous tab)</t>
    </r>
  </si>
  <si>
    <r>
      <rPr>
        <sz val="10"/>
        <rFont val="Lato"/>
      </rPr>
      <t xml:space="preserve">60 participants make one return journey to Kigali, using </t>
    </r>
    <r>
      <rPr>
        <u/>
        <sz val="10"/>
        <color rgb="FF1155CC"/>
        <rFont val="Lato"/>
      </rPr>
      <t>average distance between Kigali and TTCs</t>
    </r>
    <r>
      <rPr>
        <sz val="10"/>
        <rFont val="Lato"/>
      </rPr>
      <t xml:space="preserve"> as a proxy. Estimated 5% of distance walking, 5% of distance by moto-taxi, 90% distance by bus.</t>
    </r>
  </si>
  <si>
    <r>
      <rPr>
        <sz val="10"/>
        <rFont val="Lato"/>
      </rPr>
      <t xml:space="preserve">60 participants make one return journey to Kigali, using </t>
    </r>
    <r>
      <rPr>
        <u/>
        <sz val="10"/>
        <color rgb="FF1155CC"/>
        <rFont val="Lato"/>
      </rPr>
      <t>average distance between Kigali and TTCs</t>
    </r>
    <r>
      <rPr>
        <sz val="10"/>
        <rFont val="Lato"/>
      </rPr>
      <t xml:space="preserve"> as a proxy. Estimated 5% of distance walking, 5% of distance by moto-taxi, 90% distance by bus.</t>
    </r>
  </si>
  <si>
    <r>
      <rPr>
        <sz val="10"/>
        <rFont val="Lato"/>
      </rPr>
      <t xml:space="preserve">60 participants make one return journey to Kigali, using </t>
    </r>
    <r>
      <rPr>
        <u/>
        <sz val="10"/>
        <color rgb="FF1155CC"/>
        <rFont val="Lato"/>
      </rPr>
      <t>average distance between Kigali and TTCs</t>
    </r>
    <r>
      <rPr>
        <sz val="10"/>
        <rFont val="Lato"/>
      </rPr>
      <t xml:space="preserve"> as a proxy. Estimated 5% of distance walking, 5% of distance by moto-taxi, 90% distance by bus.</t>
    </r>
  </si>
  <si>
    <r>
      <rPr>
        <sz val="10"/>
        <rFont val="Lato"/>
      </rPr>
      <t xml:space="preserve">6700 participants (79% rural, 12% peri-urban, 9% rural) make one return journey to their local TTC to return hardware. </t>
    </r>
    <r>
      <rPr>
        <u/>
        <sz val="10"/>
        <color rgb="FF1155CC"/>
        <rFont val="Lato"/>
      </rPr>
      <t>Using average TTC journey example.</t>
    </r>
  </si>
  <si>
    <r>
      <rPr>
        <sz val="10"/>
        <rFont val="Lato"/>
      </rPr>
      <t xml:space="preserve">6700 participants (79% rural, 12% peri-urban, 9% rural) make one return journey to their local TTC to return hardware. </t>
    </r>
    <r>
      <rPr>
        <u/>
        <sz val="10"/>
        <color rgb="FF1155CC"/>
        <rFont val="Lato"/>
      </rPr>
      <t>Using average TTC journey example.</t>
    </r>
  </si>
  <si>
    <r>
      <rPr>
        <sz val="10"/>
        <rFont val="Lato"/>
      </rPr>
      <t xml:space="preserve">6700 participants (79% rural, 12% peri-urban, 9% rural) make one return journey to their local TTC to return hardware. </t>
    </r>
    <r>
      <rPr>
        <u/>
        <sz val="10"/>
        <color rgb="FF1155CC"/>
        <rFont val="Lato"/>
      </rPr>
      <t>Using average TTC journey example.</t>
    </r>
  </si>
  <si>
    <t>Support staff travel</t>
  </si>
  <si>
    <r>
      <rPr>
        <sz val="10"/>
        <rFont val="Lato"/>
      </rPr>
      <t xml:space="preserve">Support staff make 6 return journeys to each TTC (one staff member per TTC, 14 total) across the whole programme to collect tablets and return them to Kigali. </t>
    </r>
    <r>
      <rPr>
        <u/>
        <sz val="10"/>
        <color rgb="FF1155CC"/>
        <rFont val="Lato"/>
      </rPr>
      <t>Using average distance between Kigali and TTC</t>
    </r>
    <r>
      <rPr>
        <sz val="10"/>
        <rFont val="Lato"/>
      </rPr>
      <t>.</t>
    </r>
  </si>
  <si>
    <t>Assumed shipping from Vietnam to Dubai (11,183km), 1.3% replacement rate of tablets per year, 154 total (each weighing 371g - see previous tab)</t>
  </si>
  <si>
    <r>
      <rPr>
        <sz val="10"/>
        <rFont val="Lato"/>
      </rPr>
      <t>Assumed shipping from Vietnam to Dubai (</t>
    </r>
    <r>
      <rPr>
        <u/>
        <sz val="10"/>
        <color rgb="FF1155CC"/>
        <rFont val="Lato"/>
      </rPr>
      <t>11,183km</t>
    </r>
    <r>
      <rPr>
        <sz val="10"/>
        <rFont val="Lato"/>
      </rPr>
      <t>), 100% replacement rate per year, 6700 units total (total weight 0.0804 tons - see previous tab)</t>
    </r>
  </si>
  <si>
    <t>Assumed shipping from Vietnam to Dubai (11,183km), 17% replacement rate per year 1141 units (total weight 0.17115 tons - see previous tab)</t>
  </si>
  <si>
    <t>Assumed shipping from Vietnam to Dubai (11,183km), 100% replacement rate per year, 6700 units total (total weight 0.201 tons - see previous tab)</t>
  </si>
  <si>
    <t>Assumed air freight from DXB to KGL (4,058km), 154 tablets (each weighing 371g - see previous tab)</t>
  </si>
  <si>
    <t>Assumed air freight from DXB to KGL (4,058km), 6700 units (total weight 0.0804 tons - see previous tab)</t>
  </si>
  <si>
    <t>Assumed air freight from DXB to KGL (4,058km), 1141 units (total weight 0.17115 tons - see previous tab)</t>
  </si>
  <si>
    <t>Assumed air freight from DXB to KGL (4,058km), 6700 units (total weight 0.201 tons - see previous tab)</t>
  </si>
  <si>
    <t>Stage 3 - Continuing Professional Development</t>
  </si>
  <si>
    <t>SBM Training</t>
  </si>
  <si>
    <r>
      <rPr>
        <sz val="10"/>
        <rFont val="Lato"/>
      </rPr>
      <t xml:space="preserve">936 participants (79% rural, 12% peri-urban, 9% rural) make two return journeys to their local TTC to attend training. </t>
    </r>
    <r>
      <rPr>
        <u/>
        <sz val="10"/>
        <color rgb="FF1155CC"/>
        <rFont val="Lato"/>
      </rPr>
      <t>Using average TTC journey example.</t>
    </r>
  </si>
  <si>
    <r>
      <rPr>
        <sz val="10"/>
        <rFont val="Lato"/>
      </rPr>
      <t xml:space="preserve">936 participants (79% rural, 12% peri-urban, 9% rural) make two return journeys to their local TTC to attend training. </t>
    </r>
    <r>
      <rPr>
        <u/>
        <sz val="10"/>
        <color rgb="FF1155CC"/>
        <rFont val="Lato"/>
      </rPr>
      <t>Using average TTC journey example.</t>
    </r>
  </si>
  <si>
    <r>
      <rPr>
        <sz val="10"/>
        <rFont val="Lato"/>
      </rPr>
      <t xml:space="preserve">936 participants (79% rural, 12% peri-urban, 9% rural) make two return journeys to their local TTC to attend training. </t>
    </r>
    <r>
      <rPr>
        <u/>
        <sz val="10"/>
        <color rgb="FF1155CC"/>
        <rFont val="Lato"/>
      </rPr>
      <t>Using average TTC journey example.</t>
    </r>
  </si>
  <si>
    <t>In-person testing</t>
  </si>
  <si>
    <t>TTC use</t>
  </si>
  <si>
    <t>total energy use (kWh)</t>
  </si>
  <si>
    <t>kgCO2e/kWh</t>
  </si>
  <si>
    <t>3619 participants in 8 districts (8 TTCs). 8 days testing at each TTC (at a rate of 100-300 participants per TTC, RWF 18,750 a day). Total bill of 25,000 for electricity (75%) and water (25%) is split (these are estimated splits). 18,750 RWF = 14.56 USD (0.00078 exchange rate). Energy costs in Rwanda estimated at 0.241 USD per kWH. Energy used per day = 14.56/0.241 = 60.4kWh.</t>
  </si>
  <si>
    <t>HCC emission factor for "Electricity - United Republic of Tanzania"</t>
  </si>
  <si>
    <t>Tablet use</t>
  </si>
  <si>
    <r>
      <rPr>
        <sz val="10"/>
        <rFont val="Lato"/>
      </rPr>
      <t xml:space="preserve">3 hours of tablet use per participant. 3619 participants.  3619 x 3 = 10857 hours. Average tablet uses </t>
    </r>
    <r>
      <rPr>
        <u/>
        <sz val="10"/>
        <color rgb="FF1155CC"/>
        <rFont val="Lato"/>
      </rPr>
      <t>5 watts/hour</t>
    </r>
    <r>
      <rPr>
        <sz val="10"/>
        <rFont val="Lato"/>
      </rPr>
      <t>. 10867 x 5 = 54.285kWh</t>
    </r>
  </si>
  <si>
    <t>3059 participants in 6 districts (6 TTCs). 8 days testing at each TTC (at a rate of 100-300 participants per TTC, RWF 18,750 a day). Total bill of 25,000 for electricity (75%) and water (25%) is split (these are estimated splits). 18,750 RWF = 14.56 USD (0.00078 exchange rate). Energy costs in Rwanda estimated at 0.241 USD per kWH. Energy used per day = 14.56/0.241 = 60.4kWh.</t>
  </si>
  <si>
    <r>
      <rPr>
        <sz val="10"/>
        <rFont val="Lato"/>
      </rPr>
      <t xml:space="preserve">3 hours of tablet use per participant. 3059 participants.  3059 x 3 = 9177 hours. Average tablet uses </t>
    </r>
    <r>
      <rPr>
        <u/>
        <sz val="10"/>
        <color rgb="FF1155CC"/>
        <rFont val="Lato"/>
      </rPr>
      <t>5 watts/hour</t>
    </r>
    <r>
      <rPr>
        <sz val="10"/>
        <rFont val="Lato"/>
      </rPr>
      <t>. 9177 x 5 = 45.885kWh</t>
    </r>
  </si>
  <si>
    <t>Training course</t>
  </si>
  <si>
    <r>
      <rPr>
        <sz val="10"/>
        <rFont val="Lato"/>
      </rPr>
      <t xml:space="preserve">60 participants in 8 districts (8 TTCs). 3 days practice at each TTC (at a rate of &lt;100 participants per TTC, RWF 11,250 a day). Total bill of 15,000 for electricity (75%) and water (25%) is split (these are estimated splits). 11,250 RWF = 8.74 USD (0.00078 exchange rate). Energy costs in Rwanda estimated at </t>
    </r>
    <r>
      <rPr>
        <u/>
        <sz val="10"/>
        <color rgb="FF1155CC"/>
        <rFont val="Lato"/>
      </rPr>
      <t>0.241 USD per kWH</t>
    </r>
    <r>
      <rPr>
        <sz val="10"/>
        <rFont val="Lato"/>
      </rPr>
      <t>. Energy used per day = 8.74/0.241 = 36.3kWh. (One year only)</t>
    </r>
  </si>
  <si>
    <r>
      <rPr>
        <sz val="10"/>
        <rFont val="Lato"/>
      </rPr>
      <t xml:space="preserve">30 hours of tablet use per participant. 60 participants.  60 x 30 = 1800 hours. Average tablet uses </t>
    </r>
    <r>
      <rPr>
        <u/>
        <sz val="10"/>
        <color rgb="FF1155CC"/>
        <rFont val="Lato"/>
      </rPr>
      <t>5 watts/hour</t>
    </r>
    <r>
      <rPr>
        <sz val="10"/>
        <rFont val="Lato"/>
      </rPr>
      <t>. 1800 x 5 = 9kWh</t>
    </r>
  </si>
  <si>
    <t>In-person induction</t>
  </si>
  <si>
    <r>
      <rPr>
        <sz val="10"/>
        <rFont val="Lato"/>
      </rPr>
      <t xml:space="preserve">57 participants in 8 districts (8 TTCs). 2 days training at each TTC (at a rate of &lt;100 participants per TTC, RWF 11,250 a day). Total bill of 15,000 for electricity (75%) and water (25%) is split (these are estimated splits). 11,250 RWF = 8.74 USD (0.00078 exchange rate). Energy costs in Rwanda estimated at </t>
    </r>
    <r>
      <rPr>
        <u/>
        <sz val="10"/>
        <color rgb="FF1155CC"/>
        <rFont val="Lato"/>
      </rPr>
      <t>0.241 USD per kWH</t>
    </r>
    <r>
      <rPr>
        <sz val="10"/>
        <rFont val="Lato"/>
      </rPr>
      <t>. Energy used per day = 8.74/0.241 = 36.3kWh. (One year only)</t>
    </r>
  </si>
  <si>
    <t>In-person training</t>
  </si>
  <si>
    <t>6700 participants in 14 districts (8 TTCs in year 1, 14 subsequently). 10 days testing at all TTCs (as they host two one-week courses per year) each year (at a rate of 100-300 participants per TTC, RWF 18,750 a day). Total bill of 25,000 for electricity (75%) and water (25%) is split (these are estimated splits). 18,750 RWF = 14.56 USD (0.00078 exchange rate). Energy costs in Rwanda estimated at 0.241 USD per kWH. Energy used per day = 14.56/0.241 = 60.4kWh.</t>
  </si>
  <si>
    <r>
      <rPr>
        <sz val="10"/>
        <rFont val="Lato"/>
      </rPr>
      <t xml:space="preserve">60 participants in Kigali (1 TTC). 1 day induction at the TTC (at a rate of &lt;100 participants per TTC, RWF 11,250 a day). Total bill of 15,000 for electricity (75%) and water (25%) is split (these are estimated splits). 11,250 RWF = 8.74 USD (0.00078 exchange rate). Energy costs in Rwanda estimated at </t>
    </r>
    <r>
      <rPr>
        <u/>
        <sz val="10"/>
        <color rgb="FF1155CC"/>
        <rFont val="Lato"/>
      </rPr>
      <t>0.241 USD per kWH</t>
    </r>
    <r>
      <rPr>
        <sz val="10"/>
        <rFont val="Lato"/>
      </rPr>
      <t>. Energy used per day = 8.74/0.241 = 36.3kWh.</t>
    </r>
  </si>
  <si>
    <t>Online course engagement</t>
  </si>
  <si>
    <r>
      <rPr>
        <sz val="10"/>
        <rFont val="Lato"/>
      </rPr>
      <t xml:space="preserve">45.5 hours of tablet use per eTM across the 7 weeks. 60 eTMS.  60 x 45.4 = 2730 hours. Average tablet uses </t>
    </r>
    <r>
      <rPr>
        <u/>
        <sz val="10"/>
        <color rgb="FF1155CC"/>
        <rFont val="Lato"/>
      </rPr>
      <t>5 watts/hour</t>
    </r>
    <r>
      <rPr>
        <sz val="10"/>
        <rFont val="Lato"/>
      </rPr>
      <t>. 2730 x 5 = 13.65kWh</t>
    </r>
  </si>
  <si>
    <t>Asynchronous tablet use</t>
  </si>
  <si>
    <r>
      <rPr>
        <sz val="10"/>
        <rFont val="Lato"/>
      </rPr>
      <t xml:space="preserve">Y1: 2500 participants x 60 hours = 150,000 hours. Average tablet uses </t>
    </r>
    <r>
      <rPr>
        <u/>
        <sz val="10"/>
        <color rgb="FF1155CC"/>
        <rFont val="Lato"/>
      </rPr>
      <t>5 watts/hour</t>
    </r>
    <r>
      <rPr>
        <sz val="10"/>
        <rFont val="Lato"/>
      </rPr>
      <t>. 150,000 x 5 = 750 kWh.
Y2: 3200 participants x 60 hours = 192,000 hours. Average tablet uses 5 watts/hour. 192,000 x 5 = 960 kWh.
Y2: 1000 participants x 60 hours = 60,000 hours. Average tablet uses 5 watts/hour. 60,000 x 5 = 300 kWh.
TOTAL = 750 + 960 + 300 = 2010kWh</t>
    </r>
  </si>
  <si>
    <t>Synchronous tablet &amp; webex use</t>
  </si>
  <si>
    <r>
      <rPr>
        <sz val="10"/>
        <rFont val="Lato"/>
      </rPr>
      <t xml:space="preserve">Y1: 2640 participants (teachers + eTMs + NILE staff) x 30 hours = 79200 hours. Average tablet uses </t>
    </r>
    <r>
      <rPr>
        <u/>
        <sz val="10"/>
        <color rgb="FF1155CC"/>
        <rFont val="Lato"/>
      </rPr>
      <t>5 watts/hour</t>
    </r>
    <r>
      <rPr>
        <sz val="10"/>
        <rFont val="Lato"/>
      </rPr>
      <t>. 79200 x 5 = 396 kWh.
Y2: 3260 participants (teachers + eTMs) x 30 hours = 97800 hours. Average tablet uses 5 watts/hour. 97800 x 5 = 489 kWh.
Y3: 1060 participants (teachers + eTMs) x 30 hours = 31800 hours. Average tablet uses 5 watts/hour. 31800 x 5 = 159 kWh.
TOTAL = 396 + 489 + 159 = 1044 kWh.</t>
    </r>
  </si>
  <si>
    <t>Supporting tech usage</t>
  </si>
  <si>
    <t>WhatsApp support phone usage</t>
  </si>
  <si>
    <r>
      <rPr>
        <sz val="10"/>
        <rFont val="Lato"/>
      </rPr>
      <t xml:space="preserve">Assuming average phone uses </t>
    </r>
    <r>
      <rPr>
        <u/>
        <sz val="10"/>
        <color rgb="FF1155CC"/>
        <rFont val="Lato"/>
      </rPr>
      <t>4.5 watts per hour</t>
    </r>
    <r>
      <rPr>
        <sz val="10"/>
        <rFont val="Lato"/>
      </rPr>
      <t xml:space="preserve"> and each eTM provides 1 hour of phone-based support per week of online training. Each eTM provides 10 hours of phone-based support per year, totalling 30 hours across the whole programme. 60 eTMs total, meaning 1800 hours of phone-based support in total.</t>
    </r>
  </si>
  <si>
    <t>TTC usage</t>
  </si>
  <si>
    <t>936 participants in 14 districts (14 TTCs). 2 days training at each TTC (at a rate of 100-300 participants per TTC, RWF 18,750 a day). Total bill of 25,000 for electricity (75%) and water (25%) is split (these are estimated splits). 18,750 RWF = 14.56 USD (0.00078 exchange rate). Energy costs in Rwanda estimated at 0.241 USD per kWH. Energy used per day = 14.56/0.241 = 60.4kWh.</t>
  </si>
  <si>
    <t>Additional resources</t>
  </si>
  <si>
    <t>Equivalent emissions</t>
  </si>
  <si>
    <t>Water use at TTC</t>
  </si>
  <si>
    <t>total water volume (m3)</t>
  </si>
  <si>
    <t>kgCO2e/m3</t>
  </si>
  <si>
    <r>
      <rPr>
        <sz val="10"/>
        <rFont val="Lato"/>
      </rPr>
      <t xml:space="preserve">Assuming 25% of daily utilities spending goes on water. Assuming the cost of </t>
    </r>
    <r>
      <rPr>
        <u/>
        <sz val="10"/>
        <color rgb="FF1155CC"/>
        <rFont val="Lato"/>
      </rPr>
      <t>one cubic metre of water = RWF340</t>
    </r>
    <r>
      <rPr>
        <sz val="10"/>
        <rFont val="Lato"/>
      </rPr>
      <t>. Total bill = 25,000 RWF, with 6,250 RWF spent on water. Daily water usage = 6250/340 = 18.4m3. 8 days of testing at 8 TTCs.</t>
    </r>
  </si>
  <si>
    <t>HCC emission factor for "Water" (as a purchased good)</t>
  </si>
  <si>
    <t>Payment</t>
  </si>
  <si>
    <t>MTN mobile money</t>
  </si>
  <si>
    <t>total cost (USD)</t>
  </si>
  <si>
    <t>Exchange rate of 1 RWF = 0.00078 USD. Average payment per participant 20,000RWF = 15.6 USD. Total of 3619 participants.</t>
  </si>
  <si>
    <t>HCC emission factor for "Cash assistance emissions - Rwanda"</t>
  </si>
  <si>
    <r>
      <rPr>
        <sz val="10"/>
        <rFont val="Lato"/>
      </rPr>
      <t xml:space="preserve">Assuming 25% of daily utilities spending goes on water. Assuming the cost of </t>
    </r>
    <r>
      <rPr>
        <u/>
        <sz val="10"/>
        <color rgb="FF1155CC"/>
        <rFont val="Lato"/>
      </rPr>
      <t>one cubic metre of water = RWF340</t>
    </r>
    <r>
      <rPr>
        <sz val="10"/>
        <rFont val="Lato"/>
      </rPr>
      <t>. Total bill = 25,000 RWF, with 6,250 RWF spent on water. Daily water usage = 6250/340 = 18.4m3. 8 days of testing at 6 TTCs.</t>
    </r>
  </si>
  <si>
    <t>Exchange rate of 1 RWF = 0.00078 USD. Average payment per participant 20,000RWF = 15.6 USD. Total of 3059 participants.</t>
  </si>
  <si>
    <r>
      <rPr>
        <sz val="10"/>
        <rFont val="Lato"/>
      </rPr>
      <t xml:space="preserve">Assuming 25% of daily utilities spending goes on water. Assuming the cost of </t>
    </r>
    <r>
      <rPr>
        <u/>
        <sz val="10"/>
        <color rgb="FF1155CC"/>
        <rFont val="Lato"/>
      </rPr>
      <t>one cubic metre of water = RWF340</t>
    </r>
    <r>
      <rPr>
        <sz val="10"/>
        <rFont val="Lato"/>
      </rPr>
      <t>. Total bill = 15,000 RWF, with 3,750 RWF spent on water. Daily water usage = 3750/340 = 11m3. 3 days of practice at 8 TTCs (one year only).</t>
    </r>
  </si>
  <si>
    <r>
      <rPr>
        <sz val="10"/>
        <rFont val="Lato"/>
      </rPr>
      <t xml:space="preserve">Assuming 25% of daily utilities spending goes on water. Assuming the cost of </t>
    </r>
    <r>
      <rPr>
        <u/>
        <sz val="10"/>
        <color rgb="FF1155CC"/>
        <rFont val="Lato"/>
      </rPr>
      <t>one cubic metre of water = RWF340</t>
    </r>
    <r>
      <rPr>
        <sz val="10"/>
        <rFont val="Lato"/>
      </rPr>
      <t>. Total bill = 15,000 RWF, with 3,750 RWF spent on water. Daily water usage = 3750/340 = 11m3. 2 days of induction at 8 TTCs (one year only).</t>
    </r>
  </si>
  <si>
    <t>Delivering training</t>
  </si>
  <si>
    <r>
      <rPr>
        <sz val="10"/>
        <rFont val="Lato"/>
      </rPr>
      <t xml:space="preserve">Assuming 25% of daily utilities spending goes on water. Assuming the cost of </t>
    </r>
    <r>
      <rPr>
        <u/>
        <sz val="10"/>
        <color rgb="FF1155CC"/>
        <rFont val="Lato"/>
      </rPr>
      <t>one cubic metre of water = RWF340</t>
    </r>
    <r>
      <rPr>
        <sz val="10"/>
        <rFont val="Lato"/>
      </rPr>
      <t>. Total bill = 25,000 RWF, with 6,250 RWF spent on water. Daily water usage = 6250/340 = 18.4m3. 10 days of TTC use for 8 districts in year 1, 10 days of TTC use in 14 districts for years 1 and 2.</t>
    </r>
  </si>
  <si>
    <t>Meal provision</t>
  </si>
  <si>
    <t>Food waste</t>
  </si>
  <si>
    <t>total volume of food waste (tonnes)</t>
  </si>
  <si>
    <t>kgCO2e/tons</t>
  </si>
  <si>
    <r>
      <rPr>
        <sz val="10"/>
        <rFont val="Lato"/>
      </rPr>
      <t xml:space="preserve">Assuming that </t>
    </r>
    <r>
      <rPr>
        <u/>
        <sz val="10"/>
        <color rgb="FF1155CC"/>
        <rFont val="Lato"/>
      </rPr>
      <t>each meal weighs 450g</t>
    </r>
    <r>
      <rPr>
        <sz val="10"/>
        <rFont val="Lato"/>
      </rPr>
      <t>, and that 2% of each meal ends up as food waste. The total number of meals is 36610+73220 = 109830.</t>
    </r>
  </si>
  <si>
    <t>HCC emission factor for "Food waste - landfill"</t>
  </si>
  <si>
    <t>Food provision (meal w/ meat)</t>
  </si>
  <si>
    <t xml:space="preserve">total number of meals </t>
  </si>
  <si>
    <t>kgCO2e/meal</t>
  </si>
  <si>
    <t>Assuming 1/3 of total meals contain meat. Each participant receives 3 meals per day of training. 6500 participants receive 15 meals each, 200 receive 30 meals each. 57 ETTs and 8 SETTs receive 30 meals each per year (90 each across the whole project), 8 CETTs receive 60 meals each across the whole project.</t>
  </si>
  <si>
    <t>HCC emission factor for "Meal - classic - with meat"</t>
  </si>
  <si>
    <t>Food provision (meal w/o meat)</t>
  </si>
  <si>
    <t>Assuming 2/3 of total meals do not contain meat. Each participant receives 3 meals per day of training. 6500 participants receive 15 meals each, 200 receive 30 meals each. 57 ETTs and 8 SETTs receive 30 meals each per year (90 total across the whole project), 8 CETTs receive 60 meals each total.</t>
  </si>
  <si>
    <t>HCC emission factor for "Meal - vegetarian"</t>
  </si>
  <si>
    <t>Bottled water</t>
  </si>
  <si>
    <t>total bottled water volume (litres)</t>
  </si>
  <si>
    <t>kgCO2e/litre</t>
  </si>
  <si>
    <t>Assuming one bottle of water = 500ml, and one bottle is given during each meal. Each participant receives 3 meals (1.5L of bottled water) per day of training. 6500 participants receive 15 meals each, 200 receive 30 meals each. 57 ETTs and 8 SETTs receive 30 meals each per year (90 each across whole project), 8 CETTs receive 60 total meals each.</t>
  </si>
  <si>
    <t>HCC emission factor for "Bottled water"</t>
  </si>
  <si>
    <t>Wood burning</t>
  </si>
  <si>
    <t>total weight (kg)</t>
  </si>
  <si>
    <t>kgCO2e/kg</t>
  </si>
  <si>
    <t>Assuming that 75% of cooking is done using fire wood, and that 1kg of food requires 1.2kg of fire wood to cook. Total weight of food estimated at 49423.5kg (37067.625kg cooked by fire wood).</t>
  </si>
  <si>
    <t>HCC emissions factor for "Fire wood (use phase)"</t>
  </si>
  <si>
    <t>Charcoal burning</t>
  </si>
  <si>
    <t>Assuming that 25% of cooking is done using charcoal, and that 1kg of food requires 0.6624kg of charcoal to cook (assuming 55.2% the weight of firewood in charcoal can cook the same amount of food). Total weight of food estimated at 49423.5kg (12355.875kg cooked by charcoal).</t>
  </si>
  <si>
    <t>HCC emissions factor for "Charcoal (use phase)"</t>
  </si>
  <si>
    <t>Printed materials &amp; stationary</t>
  </si>
  <si>
    <t>Paper (booklets)</t>
  </si>
  <si>
    <t>total weight (tonnes)</t>
  </si>
  <si>
    <r>
      <rPr>
        <sz val="10"/>
        <rFont val="Lato"/>
      </rPr>
      <t xml:space="preserve">Assuming </t>
    </r>
    <r>
      <rPr>
        <u/>
        <sz val="10"/>
        <color rgb="FF1155CC"/>
        <rFont val="Lato"/>
      </rPr>
      <t>each two pages (one sheet) of A4 paper weighs 5g, and each two pages (one sheet) of A5 paper weighs 2.5g</t>
    </r>
    <r>
      <rPr>
        <sz val="10"/>
        <rFont val="Lato"/>
      </rPr>
      <t>. 6500 teachers are provided with a 65 page A5 booklet. 200 teachers are provided with a 95 page A5 booklet. 6700 teachers are provided with a 100 page A4 notebook.</t>
    </r>
  </si>
  <si>
    <t>HCC emission factor for "Paper - average"</t>
  </si>
  <si>
    <t>Paper (reams)</t>
  </si>
  <si>
    <t>total units</t>
  </si>
  <si>
    <t>kgCO2e/units</t>
  </si>
  <si>
    <t>Two reams of A4 paper are allocated to every 25 participants per week. 6500 participants across three years will take part in one-week training (260 groups) meaning 520 reams will be used. 200 participants across two years will take part in two-week training (8 groups) meaning 32 reams will be used. Total of 552 reams.</t>
  </si>
  <si>
    <t>HCC emission factor for "Ream of white paper"</t>
  </si>
  <si>
    <t>Stationary supplies</t>
  </si>
  <si>
    <t>total cost (k€)</t>
  </si>
  <si>
    <t>kgCO2e/k€</t>
  </si>
  <si>
    <r>
      <rPr>
        <sz val="10"/>
        <rFont val="Lato"/>
      </rPr>
      <t xml:space="preserve">5 coloured markers are sent for each 25 participants, totalling 1340 coloured markers. </t>
    </r>
    <r>
      <rPr>
        <u/>
        <sz val="10"/>
        <color rgb="FF1155CC"/>
        <rFont val="Lato"/>
      </rPr>
      <t>Estimated cost of each marker is €1</t>
    </r>
    <r>
      <rPr>
        <sz val="10"/>
        <rFont val="Lato"/>
      </rPr>
      <t xml:space="preserve">. </t>
    </r>
  </si>
  <si>
    <t>HCC emission factor for "Small office supplies"</t>
  </si>
  <si>
    <t>Exchange rate of 1 RWF = 0.00078 USD. Payment of 50,000 RWF (38.84 USD) to 6,500 participants across three years, payment of 75,000 RWF (58.26 USD) to 200 participants across first two years. Transaction fee of 60 RWF (0.047 USD) per participant.</t>
  </si>
  <si>
    <r>
      <rPr>
        <sz val="10"/>
        <rFont val="Lato"/>
      </rPr>
      <t xml:space="preserve">Assuming 25% of daily utilities spending goes on water. Assuming the cost of </t>
    </r>
    <r>
      <rPr>
        <u/>
        <sz val="10"/>
        <color rgb="FF1155CC"/>
        <rFont val="Lato"/>
      </rPr>
      <t>one cubic metre of water = RWF340</t>
    </r>
    <r>
      <rPr>
        <sz val="10"/>
        <rFont val="Lato"/>
      </rPr>
      <t>. Total bill = 15,000 RWF, with 3,750 RWF spent on water. Daily water usage = 3750/340 = 11m3. 1 day of induction in Kigali (one year only)</t>
    </r>
  </si>
  <si>
    <t>Exchange rate of 1 RWF = 0.00078 USD. Average payment per participant 20,000RWF = 15.6 USD. Total of 6700 participants.</t>
  </si>
  <si>
    <r>
      <rPr>
        <sz val="10"/>
        <rFont val="Lato"/>
      </rPr>
      <t xml:space="preserve">Assuming 25% of daily utilities spending goes on water. Assuming the cost of </t>
    </r>
    <r>
      <rPr>
        <u/>
        <sz val="10"/>
        <color rgb="FF1155CC"/>
        <rFont val="Lato"/>
      </rPr>
      <t>one cubic metre of water = RWF340</t>
    </r>
    <r>
      <rPr>
        <sz val="10"/>
        <rFont val="Lato"/>
      </rPr>
      <t>. Total bill = 25,000 RWF, with 6,250 RWF spent on water. Daily water usage = 6250/340 = 18.4m3. 2 days of TTC use at 14 TTCs (one year only).</t>
    </r>
  </si>
  <si>
    <r>
      <rPr>
        <sz val="10"/>
        <rFont val="Lato"/>
      </rPr>
      <t xml:space="preserve">Assuming </t>
    </r>
    <r>
      <rPr>
        <u/>
        <sz val="10"/>
        <color rgb="FF1155CC"/>
        <rFont val="Lato"/>
      </rPr>
      <t>each two pages (one sheet) of A4 paper weighs 5g, and each two pages (one sheet) of A5 paper weighs 2.5g</t>
    </r>
    <r>
      <rPr>
        <sz val="10"/>
        <rFont val="Lato"/>
      </rPr>
      <t>. 936 SBMs are provided with a 65 page A5 booklet. 936 SBMs are provided with a 62 page A4 booklet.</t>
    </r>
  </si>
  <si>
    <r>
      <rPr>
        <sz val="10"/>
        <rFont val="Lato"/>
      </rPr>
      <t xml:space="preserve">Minimal resources (chalk, flipcharts, markers) are used. Estimates of 3 sticks of chalk and one flipchart per TTC (14 total TTCs), and 5 markers for every 25 participants (188 total). </t>
    </r>
    <r>
      <rPr>
        <u/>
        <sz val="10"/>
        <color rgb="FF1155CC"/>
        <rFont val="Lato"/>
      </rPr>
      <t>Estimated cost of each marker is €1</t>
    </r>
    <r>
      <rPr>
        <sz val="10"/>
        <rFont val="Lato"/>
      </rPr>
      <t xml:space="preserve">. </t>
    </r>
    <r>
      <rPr>
        <u/>
        <sz val="10"/>
        <color rgb="FF1155CC"/>
        <rFont val="Lato"/>
      </rPr>
      <t>Estimated price of each chalk stick is €0.3</t>
    </r>
    <r>
      <rPr>
        <sz val="10"/>
        <rFont val="Lato"/>
      </rPr>
      <t xml:space="preserve">. </t>
    </r>
    <r>
      <rPr>
        <u/>
        <sz val="10"/>
        <color rgb="FF1155CC"/>
        <rFont val="Lato"/>
      </rPr>
      <t>Estimated price of flip chart is €4</t>
    </r>
    <r>
      <rPr>
        <sz val="10"/>
        <rFont val="Lato"/>
      </rPr>
      <t>.</t>
    </r>
  </si>
  <si>
    <t>Tea break</t>
  </si>
  <si>
    <t>total volume (litres)</t>
  </si>
  <si>
    <t>Assuming one bottle of water = 500ml. Two tea breaks per day (4 in total per participant), and so 4 bottles (2l) of water per person total. 936 SBMs total.</t>
  </si>
  <si>
    <t>Invigilator accommodation in district</t>
  </si>
  <si>
    <t>Hotel stay</t>
  </si>
  <si>
    <t>total room nights</t>
  </si>
  <si>
    <t>Room per night</t>
  </si>
  <si>
    <t>Each invigilator (8 total, one per district) stays 3 nights at a local hotel every testing weekend (4 testing weekends total). This means that there are 96 nights of hotel accommodation with each invigilator in a separate room.</t>
  </si>
  <si>
    <t>UK Gov emissions factor for "Hotel Stay - Colombia"</t>
  </si>
  <si>
    <t>Hotel</t>
  </si>
  <si>
    <t>Each invigilator (6 total, one per district) stays 3 nights at a local hotel every testing weekend (4 testing weekends total). This means that there are 72 nights of hotel accommodation with each invigilator in a separate room.</t>
  </si>
  <si>
    <t>Consultant accommodation in district</t>
  </si>
  <si>
    <t>8 CETTs and 8 SETTs in the first two years stay for 13 nights a year, totalling 416 nights. In the final year, 8 SETTs stay for 13 nights, totalling 104 nights. This gives a total number of nights as 520.</t>
  </si>
  <si>
    <t>Consultant accommodation in Kigali</t>
  </si>
  <si>
    <t>8 senior trainers (all years) and 8 external consultants (years 1 and 2) have three days of induction in Kigali prior to delivering face-to-face training. Assuming that 3 days of training repeats each year, and that this entails 4 nights of accommdoation. This results in each SETT needing 12 nights of accommodation (96 for all SETTs) in Kigali across the whole programme, and each external consultant needing 8 nights of accommodation (64 for all external consultants) across the whole programme, totalling 160 nights.</t>
  </si>
  <si>
    <t>TTC dormitories</t>
  </si>
  <si>
    <t>Dormitories (water)</t>
  </si>
  <si>
    <t>As each dormitory is housed within the TTC, the daily carbon footprint of which is already included in the energy usage tab, the accommodation footprint is accounting for an extra day of electricity and water usage at the TTC (to cover arrival the day before, and leaving the day after training). This is assuming one extra day at 8 TTCs in year one, and 14 TTCs in years 2 and 3, totalling 36 additional days (at a daily rate of 25,000 RWF for both water and electricity). Electricity = 60.4kWh, water = 18.4m3 per day.</t>
  </si>
  <si>
    <t>Dormitories (electricity)</t>
  </si>
  <si>
    <t>As each dormitory is housed within the TTC, the daily carbon footprint of which is already included in the energy usage tab, the accommodation footprint is accounting for an extra day of electricity and water usage at the TTC (to cover arrival the day before, and leaving the day after training). This is assuming one extra day at 8 TTCs in year one and 14 TTCs years 2 and 3, totalling 36 additional days (at a daily rate of 25,000 RWF for both water and electricity). Electricity = 60.4kWh, water = 18.4m3 per day.</t>
  </si>
  <si>
    <t xml:space="preserve">60 participants make one return journey to Kigali, using average distance between Kigali and TTCs as a proxy. </t>
  </si>
  <si>
    <t>Participant journey to Venue</t>
  </si>
  <si>
    <t>By foot</t>
  </si>
  <si>
    <t>By moto taxi</t>
  </si>
  <si>
    <t>By bus</t>
  </si>
  <si>
    <t>Average journey to each TTC + overall</t>
  </si>
  <si>
    <t>Venue</t>
  </si>
  <si>
    <t>Location</t>
  </si>
  <si>
    <t>School</t>
  </si>
  <si>
    <t>Sector</t>
  </si>
  <si>
    <t>KM</t>
  </si>
  <si>
    <t>Minutes</t>
  </si>
  <si>
    <t>TTC</t>
  </si>
  <si>
    <t>Distance travelled by foot</t>
  </si>
  <si>
    <t>Distance travelled by moto taxi</t>
  </si>
  <si>
    <t>Distance travelled by bus</t>
  </si>
  <si>
    <t>Total distance</t>
  </si>
  <si>
    <t>Estimated road distance to Kigali (km)</t>
  </si>
  <si>
    <t>TTC Mururu -</t>
  </si>
  <si>
    <t>A participant from a rural location in a very remote sector</t>
  </si>
  <si>
    <t>Gs Bweyeye</t>
  </si>
  <si>
    <t>Bweyeye</t>
  </si>
  <si>
    <t>Rural</t>
  </si>
  <si>
    <t>A typical participant from a rural location (not extremely remote)</t>
  </si>
  <si>
    <t>Gs Nyakabwende</t>
  </si>
  <si>
    <t>Nyakabuye</t>
  </si>
  <si>
    <t>NA</t>
  </si>
  <si>
    <t>Peri-urban</t>
  </si>
  <si>
    <t>A participant from a peri-urban location</t>
  </si>
  <si>
    <t>Gs Bugarama Cite</t>
  </si>
  <si>
    <t>Bugarama</t>
  </si>
  <si>
    <t>Urban</t>
  </si>
  <si>
    <t>A participant from an urban location</t>
  </si>
  <si>
    <t>G.S Cyangugu</t>
  </si>
  <si>
    <t>Kamembe</t>
  </si>
  <si>
    <t>TTC Save</t>
  </si>
  <si>
    <t>Gs Gitwa</t>
  </si>
  <si>
    <t>Mukindo</t>
  </si>
  <si>
    <t>G.S Saga</t>
  </si>
  <si>
    <t>Muganza</t>
  </si>
  <si>
    <t>G.S Gikonko Catholique</t>
  </si>
  <si>
    <t>Gikonko</t>
  </si>
  <si>
    <t>G.S Cyamukuza</t>
  </si>
  <si>
    <t>Ndora</t>
  </si>
  <si>
    <t>GS Remera Rukoma</t>
  </si>
  <si>
    <t>Gs Ruyanza</t>
  </si>
  <si>
    <t>Nyarubaka</t>
  </si>
  <si>
    <t>G S Masogwe</t>
  </si>
  <si>
    <t>Ngamba</t>
  </si>
  <si>
    <t>Gs Gihembe</t>
  </si>
  <si>
    <t>Musambira</t>
  </si>
  <si>
    <t>Gs Runda Isonga</t>
  </si>
  <si>
    <t>Runda</t>
  </si>
  <si>
    <t>TTC de la Salle Byumba</t>
  </si>
  <si>
    <t>Gs Kigogo</t>
  </si>
  <si>
    <t>Nyankenke</t>
  </si>
  <si>
    <t>Gs Rubaya</t>
  </si>
  <si>
    <t>Rubaya</t>
  </si>
  <si>
    <t>Kageyo Tvet School</t>
  </si>
  <si>
    <t>Kageyo</t>
  </si>
  <si>
    <t>Gs Byumba Catholique</t>
  </si>
  <si>
    <t>Byumba</t>
  </si>
  <si>
    <t>ES Kayonza Modern</t>
  </si>
  <si>
    <t>Ecole Secondaire Ndego/TSS</t>
  </si>
  <si>
    <t>Ndego</t>
  </si>
  <si>
    <t>GS Nyamugari</t>
  </si>
  <si>
    <t>Mwiri</t>
  </si>
  <si>
    <t>Face Girls School-Gahini</t>
  </si>
  <si>
    <t>Gahini</t>
  </si>
  <si>
    <t>G.s Kayonza</t>
  </si>
  <si>
    <t>Mukarange</t>
  </si>
  <si>
    <t>ES Musanze</t>
  </si>
  <si>
    <t>GS Mukono</t>
  </si>
  <si>
    <t>Remera</t>
  </si>
  <si>
    <t>G.S Kampanga</t>
  </si>
  <si>
    <t>Kinigi</t>
  </si>
  <si>
    <t>GS Busogo I</t>
  </si>
  <si>
    <t>BUSOGO</t>
  </si>
  <si>
    <t>ECOLE Secondaire Saint vicent Muhoza</t>
  </si>
  <si>
    <t>Muhoza</t>
  </si>
  <si>
    <t>TTC Muramba</t>
  </si>
  <si>
    <t>Gs gasave</t>
  </si>
  <si>
    <t>Ndaro</t>
  </si>
  <si>
    <t>GS Bungwe</t>
  </si>
  <si>
    <t>Bwira</t>
  </si>
  <si>
    <t>GS KAGESHI</t>
  </si>
  <si>
    <t>Kabaya</t>
  </si>
  <si>
    <t>Gs rususa</t>
  </si>
  <si>
    <t>Ngororero</t>
  </si>
  <si>
    <t>Average journey for each participant to their TTC (km)</t>
  </si>
  <si>
    <t>Average distance between Kigali and each TTC (km)</t>
  </si>
  <si>
    <t>Hotel journey (one way) km</t>
  </si>
  <si>
    <t>2 - 15</t>
  </si>
  <si>
    <t>Average one way journey Hotel - TTC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</si>
</sst>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0"/>
      <color rgb="FF000000"/>
      <name val="Arial"/>
      <scheme val="minor"/>
    </font>
    <font>
      <b/>
      <sz val="20"/>
      <color theme="1"/>
      <name val="Lato"/>
    </font>
    <font>
      <sz val="10"/>
      <name val="Arial"/>
      <family val="2"/>
    </font>
    <font>
      <sz val="10"/>
      <color theme="1"/>
      <name val="Arial"/>
      <family val="2"/>
      <scheme val="minor"/>
    </font>
    <font>
      <b/>
      <sz val="15"/>
      <color theme="1"/>
      <name val="Lato"/>
    </font>
    <font>
      <sz val="14"/>
      <color theme="1"/>
      <name val="Lato"/>
    </font>
    <font>
      <b/>
      <sz val="14"/>
      <color theme="1"/>
      <name val="Lato"/>
    </font>
    <font>
      <b/>
      <sz val="14"/>
      <color theme="1"/>
      <name val="Arial"/>
      <family val="2"/>
      <scheme val="minor"/>
    </font>
    <font>
      <sz val="14"/>
      <color rgb="FF000000"/>
      <name val="Lato"/>
    </font>
    <font>
      <b/>
      <sz val="15"/>
      <color rgb="FF000000"/>
      <name val="Lato"/>
    </font>
    <font>
      <sz val="15"/>
      <color theme="1"/>
      <name val="Lato"/>
    </font>
    <font>
      <sz val="15"/>
      <color theme="1"/>
      <name val="Arial"/>
      <family val="2"/>
      <scheme val="minor"/>
    </font>
    <font>
      <sz val="10"/>
      <color theme="1"/>
      <name val="Lato"/>
    </font>
    <font>
      <u/>
      <sz val="10"/>
      <color rgb="FF1155CC"/>
      <name val="Arial"/>
      <family val="2"/>
    </font>
    <font>
      <b/>
      <sz val="12"/>
      <color theme="1"/>
      <name val="Lato"/>
    </font>
    <font>
      <u/>
      <sz val="10"/>
      <color rgb="FF0000FF"/>
      <name val="Lato"/>
    </font>
    <font>
      <u/>
      <sz val="10"/>
      <color rgb="FF0000FF"/>
      <name val="Lato"/>
    </font>
    <font>
      <u/>
      <sz val="10"/>
      <color rgb="FF0000FF"/>
      <name val="Lato"/>
    </font>
    <font>
      <u/>
      <sz val="10"/>
      <color rgb="FF0000FF"/>
      <name val="Lato"/>
    </font>
    <font>
      <u/>
      <sz val="10"/>
      <color rgb="FF0000FF"/>
      <name val="Lato"/>
    </font>
    <font>
      <sz val="10"/>
      <color rgb="FF000000"/>
      <name val="Docs-Lato"/>
    </font>
    <font>
      <sz val="10"/>
      <color theme="1"/>
      <name val="Lato"/>
    </font>
    <font>
      <b/>
      <sz val="11"/>
      <color rgb="FF000000"/>
      <name val="Arial"/>
      <family val="2"/>
    </font>
    <font>
      <b/>
      <sz val="10"/>
      <color theme="1"/>
      <name val="Arial"/>
      <family val="2"/>
      <scheme val="minor"/>
    </font>
    <font>
      <b/>
      <sz val="9"/>
      <color rgb="FF000000"/>
      <name val="Arial"/>
      <family val="2"/>
    </font>
    <font>
      <sz val="11"/>
      <color rgb="FF000000"/>
      <name val="Arial"/>
      <family val="2"/>
    </font>
    <font>
      <u/>
      <sz val="10"/>
      <color rgb="FF0000FF"/>
      <name val="Arial"/>
      <family val="2"/>
    </font>
    <font>
      <sz val="12"/>
      <color rgb="FF000000"/>
      <name val="Arial"/>
      <family val="2"/>
    </font>
    <font>
      <sz val="11"/>
      <color rgb="FFFF0000"/>
      <name val="Arial"/>
      <family val="2"/>
    </font>
    <font>
      <sz val="11"/>
      <color rgb="FF000000"/>
      <name val="&quot;Aptos Narrow&quot;"/>
    </font>
    <font>
      <sz val="10"/>
      <name val="Lato"/>
    </font>
    <font>
      <u/>
      <sz val="10"/>
      <color rgb="FF1155CC"/>
      <name val="Lato"/>
    </font>
    <font>
      <sz val="10"/>
      <name val="Lato,Arial"/>
    </font>
    <font>
      <u/>
      <sz val="10"/>
      <color rgb="FF1155CC"/>
      <name val="Lato,Arial"/>
    </font>
  </fonts>
  <fills count="13">
    <fill>
      <patternFill patternType="none"/>
    </fill>
    <fill>
      <patternFill patternType="gray125"/>
    </fill>
    <fill>
      <patternFill patternType="solid">
        <fgColor rgb="FFF6B26B"/>
        <bgColor rgb="FFF6B26B"/>
      </patternFill>
    </fill>
    <fill>
      <patternFill patternType="solid">
        <fgColor rgb="FF6AA84F"/>
        <bgColor rgb="FF6AA84F"/>
      </patternFill>
    </fill>
    <fill>
      <patternFill patternType="solid">
        <fgColor rgb="FFFFFFFF"/>
        <bgColor rgb="FFFFFFFF"/>
      </patternFill>
    </fill>
    <fill>
      <patternFill patternType="solid">
        <fgColor rgb="FFD9D9D9"/>
        <bgColor rgb="FFD9D9D9"/>
      </patternFill>
    </fill>
    <fill>
      <patternFill patternType="solid">
        <fgColor rgb="FF6D9EEB"/>
        <bgColor rgb="FF6D9EEB"/>
      </patternFill>
    </fill>
    <fill>
      <patternFill patternType="solid">
        <fgColor rgb="FFF1C232"/>
        <bgColor rgb="FFF1C232"/>
      </patternFill>
    </fill>
    <fill>
      <patternFill patternType="solid">
        <fgColor rgb="FFCCCCCC"/>
        <bgColor rgb="FFCCCCCC"/>
      </patternFill>
    </fill>
    <fill>
      <patternFill patternType="solid">
        <fgColor rgb="FFE06666"/>
        <bgColor rgb="FFE06666"/>
      </patternFill>
    </fill>
    <fill>
      <patternFill patternType="solid">
        <fgColor rgb="FFC27BA0"/>
        <bgColor rgb="FFC27BA0"/>
      </patternFill>
    </fill>
    <fill>
      <patternFill patternType="solid">
        <fgColor rgb="FFF9CB9C"/>
        <bgColor rgb="FFF9CB9C"/>
      </patternFill>
    </fill>
    <fill>
      <patternFill patternType="solid">
        <fgColor rgb="FFEAD1DC"/>
        <bgColor rgb="FFEAD1DC"/>
      </patternFill>
    </fill>
  </fills>
  <borders count="2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4">
    <xf numFmtId="0" fontId="0" fillId="0" borderId="0" xfId="0"/>
    <xf numFmtId="0" fontId="3" fillId="0" borderId="0" xfId="0" applyFont="1" applyAlignment="1">
      <alignment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0" xfId="0" applyFont="1" applyFill="1" applyAlignment="1">
      <alignment horizontal="center" wrapText="1"/>
    </xf>
    <xf numFmtId="0" fontId="4" fillId="2" borderId="6" xfId="0" applyFont="1" applyFill="1" applyBorder="1" applyAlignment="1">
      <alignment horizontal="center" wrapText="1"/>
    </xf>
    <xf numFmtId="4" fontId="3" fillId="0" borderId="0" xfId="0" applyNumberFormat="1" applyFont="1" applyAlignment="1">
      <alignment wrapText="1"/>
    </xf>
    <xf numFmtId="4" fontId="3" fillId="0" borderId="0" xfId="0" applyNumberFormat="1" applyFont="1"/>
    <xf numFmtId="0" fontId="4" fillId="4" borderId="8" xfId="0" applyFont="1" applyFill="1" applyBorder="1" applyAlignment="1">
      <alignment horizontal="center" wrapText="1"/>
    </xf>
    <xf numFmtId="4" fontId="5" fillId="5" borderId="8" xfId="0" applyNumberFormat="1" applyFont="1" applyFill="1" applyBorder="1" applyAlignment="1">
      <alignment horizontal="center" wrapText="1"/>
    </xf>
    <xf numFmtId="4" fontId="5" fillId="4" borderId="8" xfId="0" applyNumberFormat="1" applyFont="1" applyFill="1" applyBorder="1" applyAlignment="1">
      <alignment horizontal="center" wrapText="1"/>
    </xf>
    <xf numFmtId="4" fontId="5" fillId="4" borderId="9" xfId="0" applyNumberFormat="1" applyFont="1" applyFill="1" applyBorder="1" applyAlignment="1">
      <alignment horizontal="center" wrapText="1"/>
    </xf>
    <xf numFmtId="4" fontId="6" fillId="0" borderId="7" xfId="0" applyNumberFormat="1" applyFont="1" applyBorder="1" applyAlignment="1">
      <alignment wrapText="1"/>
    </xf>
    <xf numFmtId="0" fontId="4" fillId="4" borderId="11" xfId="0" applyFont="1" applyFill="1" applyBorder="1" applyAlignment="1">
      <alignment horizontal="center" wrapText="1"/>
    </xf>
    <xf numFmtId="4" fontId="5" fillId="5" borderId="11" xfId="0" applyNumberFormat="1" applyFont="1" applyFill="1" applyBorder="1" applyAlignment="1">
      <alignment horizontal="center" wrapText="1"/>
    </xf>
    <xf numFmtId="4" fontId="5" fillId="4" borderId="11" xfId="0" applyNumberFormat="1" applyFont="1" applyFill="1" applyBorder="1" applyAlignment="1">
      <alignment horizontal="center" wrapText="1"/>
    </xf>
    <xf numFmtId="4" fontId="5" fillId="4" borderId="6" xfId="0" applyNumberFormat="1" applyFont="1" applyFill="1" applyBorder="1" applyAlignment="1">
      <alignment horizontal="center" wrapText="1"/>
    </xf>
    <xf numFmtId="4" fontId="6" fillId="0" borderId="10" xfId="0" applyNumberFormat="1" applyFont="1" applyBorder="1" applyAlignment="1">
      <alignment wrapText="1"/>
    </xf>
    <xf numFmtId="0" fontId="4" fillId="5" borderId="12" xfId="0" applyFont="1" applyFill="1" applyBorder="1" applyAlignment="1">
      <alignment horizontal="center" wrapText="1"/>
    </xf>
    <xf numFmtId="0" fontId="4" fillId="4" borderId="0" xfId="0" applyFont="1" applyFill="1" applyAlignment="1">
      <alignment horizontal="center" wrapText="1"/>
    </xf>
    <xf numFmtId="4" fontId="6" fillId="4" borderId="0" xfId="0" applyNumberFormat="1" applyFont="1" applyFill="1" applyAlignment="1">
      <alignment horizontal="center" wrapText="1"/>
    </xf>
    <xf numFmtId="4" fontId="6" fillId="4" borderId="13" xfId="0" applyNumberFormat="1" applyFont="1" applyFill="1" applyBorder="1" applyAlignment="1">
      <alignment horizontal="center" wrapText="1"/>
    </xf>
    <xf numFmtId="0" fontId="6" fillId="5" borderId="0" xfId="0" applyFont="1" applyFill="1" applyAlignment="1">
      <alignment wrapText="1"/>
    </xf>
    <xf numFmtId="0" fontId="7" fillId="5" borderId="0" xfId="0" applyFont="1" applyFill="1"/>
    <xf numFmtId="10" fontId="4" fillId="5" borderId="13" xfId="0" applyNumberFormat="1" applyFont="1" applyFill="1" applyBorder="1" applyAlignment="1">
      <alignment horizontal="center" vertical="center" wrapText="1"/>
    </xf>
    <xf numFmtId="4" fontId="5" fillId="5" borderId="9" xfId="0" applyNumberFormat="1" applyFont="1" applyFill="1" applyBorder="1" applyAlignment="1">
      <alignment horizontal="center" wrapText="1"/>
    </xf>
    <xf numFmtId="4" fontId="5" fillId="5" borderId="0" xfId="0" applyNumberFormat="1" applyFont="1" applyFill="1" applyAlignment="1">
      <alignment horizontal="center" wrapText="1"/>
    </xf>
    <xf numFmtId="4" fontId="5" fillId="4" borderId="0" xfId="0" applyNumberFormat="1" applyFont="1" applyFill="1" applyAlignment="1">
      <alignment horizontal="center" wrapText="1"/>
    </xf>
    <xf numFmtId="4" fontId="5" fillId="5" borderId="13" xfId="0" applyNumberFormat="1" applyFont="1" applyFill="1" applyBorder="1" applyAlignment="1">
      <alignment horizontal="center" wrapText="1"/>
    </xf>
    <xf numFmtId="4" fontId="6" fillId="0" borderId="12" xfId="0" applyNumberFormat="1" applyFont="1" applyBorder="1" applyAlignment="1">
      <alignment wrapText="1"/>
    </xf>
    <xf numFmtId="4" fontId="5" fillId="5" borderId="6" xfId="0" applyNumberFormat="1" applyFont="1" applyFill="1" applyBorder="1" applyAlignment="1">
      <alignment horizontal="center" wrapText="1"/>
    </xf>
    <xf numFmtId="0" fontId="4" fillId="8" borderId="12" xfId="0" applyFont="1" applyFill="1" applyBorder="1" applyAlignment="1">
      <alignment horizontal="center" wrapText="1"/>
    </xf>
    <xf numFmtId="0" fontId="4" fillId="9" borderId="1" xfId="0" applyFont="1" applyFill="1" applyBorder="1" applyAlignment="1">
      <alignment horizontal="center" wrapText="1"/>
    </xf>
    <xf numFmtId="0" fontId="4" fillId="4" borderId="2" xfId="0" applyFont="1" applyFill="1" applyBorder="1" applyAlignment="1">
      <alignment horizontal="center" wrapText="1"/>
    </xf>
    <xf numFmtId="4" fontId="5" fillId="5" borderId="2" xfId="0" applyNumberFormat="1" applyFont="1" applyFill="1" applyBorder="1" applyAlignment="1">
      <alignment horizontal="center" wrapText="1"/>
    </xf>
    <xf numFmtId="4" fontId="5" fillId="4" borderId="2" xfId="0" applyNumberFormat="1" applyFont="1" applyFill="1" applyBorder="1" applyAlignment="1">
      <alignment horizontal="center" wrapText="1"/>
    </xf>
    <xf numFmtId="4" fontId="5" fillId="5" borderId="3" xfId="0" applyNumberFormat="1" applyFont="1" applyFill="1" applyBorder="1" applyAlignment="1">
      <alignment horizontal="center" wrapText="1"/>
    </xf>
    <xf numFmtId="4" fontId="6" fillId="0" borderId="1" xfId="0" applyNumberFormat="1" applyFont="1" applyBorder="1" applyAlignment="1">
      <alignment wrapText="1"/>
    </xf>
    <xf numFmtId="4" fontId="7" fillId="0" borderId="2" xfId="0" applyNumberFormat="1" applyFont="1" applyBorder="1"/>
    <xf numFmtId="10" fontId="4" fillId="0" borderId="3" xfId="0" applyNumberFormat="1"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6" fillId="5" borderId="7" xfId="0" applyFont="1" applyFill="1" applyBorder="1" applyAlignment="1">
      <alignment wrapText="1"/>
    </xf>
    <xf numFmtId="0" fontId="7" fillId="5" borderId="8" xfId="0" applyFont="1" applyFill="1" applyBorder="1"/>
    <xf numFmtId="10" fontId="4" fillId="5" borderId="9" xfId="0" applyNumberFormat="1" applyFont="1" applyFill="1" applyBorder="1" applyAlignment="1">
      <alignment horizontal="center" vertical="center" wrapText="1"/>
    </xf>
    <xf numFmtId="4" fontId="8" fillId="4" borderId="8" xfId="0" applyNumberFormat="1" applyFont="1" applyFill="1" applyBorder="1" applyAlignment="1">
      <alignment horizontal="center"/>
    </xf>
    <xf numFmtId="4" fontId="5" fillId="0" borderId="11" xfId="0" applyNumberFormat="1" applyFont="1" applyBorder="1" applyAlignment="1">
      <alignment horizontal="center" wrapText="1"/>
    </xf>
    <xf numFmtId="0" fontId="4" fillId="0" borderId="1" xfId="0" applyFont="1" applyBorder="1" applyAlignment="1">
      <alignment wrapText="1"/>
    </xf>
    <xf numFmtId="4" fontId="9" fillId="4" borderId="2" xfId="0" applyNumberFormat="1" applyFont="1" applyFill="1" applyBorder="1"/>
    <xf numFmtId="0" fontId="3" fillId="5" borderId="3" xfId="0" applyFont="1" applyFill="1" applyBorder="1" applyAlignment="1">
      <alignment wrapText="1"/>
    </xf>
    <xf numFmtId="0" fontId="10" fillId="4" borderId="0" xfId="0" applyFont="1" applyFill="1" applyAlignment="1">
      <alignment horizontal="center" wrapText="1"/>
    </xf>
    <xf numFmtId="0" fontId="10" fillId="0" borderId="0" xfId="0" applyFont="1" applyAlignment="1">
      <alignment wrapText="1"/>
    </xf>
    <xf numFmtId="0" fontId="11" fillId="0" borderId="0" xfId="0" applyFont="1"/>
    <xf numFmtId="0" fontId="12" fillId="0" borderId="0" xfId="0" applyFont="1" applyAlignment="1">
      <alignment wrapText="1"/>
    </xf>
    <xf numFmtId="0" fontId="13" fillId="0" borderId="0" xfId="0" applyFont="1" applyAlignment="1">
      <alignment wrapText="1"/>
    </xf>
    <xf numFmtId="0" fontId="4" fillId="11" borderId="14" xfId="0" applyFont="1" applyFill="1" applyBorder="1" applyAlignment="1">
      <alignment horizontal="center" wrapText="1"/>
    </xf>
    <xf numFmtId="0" fontId="4" fillId="11" borderId="15" xfId="0" applyFont="1" applyFill="1" applyBorder="1" applyAlignment="1">
      <alignment horizontal="center" wrapText="1"/>
    </xf>
    <xf numFmtId="0" fontId="4" fillId="11" borderId="16" xfId="0" applyFont="1" applyFill="1" applyBorder="1" applyAlignment="1">
      <alignment horizontal="center" wrapText="1"/>
    </xf>
    <xf numFmtId="0" fontId="12" fillId="4" borderId="19" xfId="0" applyFont="1" applyFill="1" applyBorder="1" applyAlignment="1">
      <alignment vertical="center" wrapText="1"/>
    </xf>
    <xf numFmtId="0" fontId="12" fillId="4" borderId="0" xfId="0" applyFont="1" applyFill="1" applyAlignment="1">
      <alignment vertical="center" wrapText="1"/>
    </xf>
    <xf numFmtId="0" fontId="12" fillId="4" borderId="0" xfId="0" applyFont="1" applyFill="1" applyAlignment="1">
      <alignment wrapText="1"/>
    </xf>
    <xf numFmtId="0" fontId="12" fillId="4" borderId="19" xfId="0" applyFont="1" applyFill="1" applyBorder="1" applyAlignment="1">
      <alignment wrapText="1"/>
    </xf>
    <xf numFmtId="4" fontId="12" fillId="4" borderId="20" xfId="0" applyNumberFormat="1" applyFont="1" applyFill="1" applyBorder="1" applyAlignment="1">
      <alignment wrapText="1"/>
    </xf>
    <xf numFmtId="0" fontId="15" fillId="4" borderId="0" xfId="0" applyFont="1" applyFill="1" applyAlignment="1">
      <alignment wrapText="1"/>
    </xf>
    <xf numFmtId="4" fontId="12" fillId="4" borderId="23" xfId="0" applyNumberFormat="1" applyFont="1" applyFill="1" applyBorder="1" applyAlignment="1">
      <alignment wrapText="1"/>
    </xf>
    <xf numFmtId="4" fontId="12" fillId="4" borderId="0" xfId="0" applyNumberFormat="1" applyFont="1" applyFill="1" applyAlignment="1">
      <alignment wrapText="1"/>
    </xf>
    <xf numFmtId="4" fontId="12" fillId="4" borderId="19" xfId="0" applyNumberFormat="1" applyFont="1" applyFill="1" applyBorder="1" applyAlignment="1">
      <alignment wrapText="1"/>
    </xf>
    <xf numFmtId="0" fontId="12" fillId="4" borderId="0" xfId="0" applyFont="1" applyFill="1"/>
    <xf numFmtId="4" fontId="12" fillId="4" borderId="0" xfId="0" applyNumberFormat="1" applyFont="1" applyFill="1"/>
    <xf numFmtId="0" fontId="12" fillId="4" borderId="25" xfId="0" applyFont="1" applyFill="1" applyBorder="1"/>
    <xf numFmtId="0" fontId="12" fillId="4" borderId="25" xfId="0" applyFont="1" applyFill="1" applyBorder="1" applyAlignment="1">
      <alignment wrapText="1"/>
    </xf>
    <xf numFmtId="4" fontId="12" fillId="4" borderId="25" xfId="0" applyNumberFormat="1" applyFont="1" applyFill="1" applyBorder="1"/>
    <xf numFmtId="0" fontId="12" fillId="0" borderId="0" xfId="0" applyFont="1"/>
    <xf numFmtId="0" fontId="3" fillId="4" borderId="0" xfId="0" applyFont="1" applyFill="1"/>
    <xf numFmtId="0" fontId="12" fillId="4" borderId="25" xfId="0" applyFont="1" applyFill="1" applyBorder="1" applyAlignment="1">
      <alignment vertical="center" wrapText="1"/>
    </xf>
    <xf numFmtId="0" fontId="16" fillId="4" borderId="25" xfId="0" applyFont="1" applyFill="1" applyBorder="1" applyAlignment="1">
      <alignment wrapText="1"/>
    </xf>
    <xf numFmtId="4" fontId="12" fillId="4" borderId="27" xfId="0" applyNumberFormat="1" applyFont="1" applyFill="1" applyBorder="1" applyAlignment="1">
      <alignment wrapText="1"/>
    </xf>
    <xf numFmtId="0" fontId="17" fillId="4" borderId="19" xfId="0" applyFont="1" applyFill="1" applyBorder="1" applyAlignment="1">
      <alignment wrapText="1"/>
    </xf>
    <xf numFmtId="4" fontId="12" fillId="4" borderId="25" xfId="0" applyNumberFormat="1" applyFont="1" applyFill="1" applyBorder="1" applyAlignment="1">
      <alignment wrapText="1"/>
    </xf>
    <xf numFmtId="0" fontId="12" fillId="4" borderId="19" xfId="0" applyFont="1" applyFill="1" applyBorder="1" applyAlignment="1">
      <alignment horizontal="right" wrapText="1"/>
    </xf>
    <xf numFmtId="0" fontId="18" fillId="4" borderId="19" xfId="0" applyFont="1" applyFill="1" applyBorder="1" applyAlignment="1">
      <alignment wrapText="1"/>
    </xf>
    <xf numFmtId="4" fontId="12" fillId="4" borderId="20" xfId="0" applyNumberFormat="1" applyFont="1" applyFill="1" applyBorder="1" applyAlignment="1">
      <alignment horizontal="right" wrapText="1"/>
    </xf>
    <xf numFmtId="0" fontId="12" fillId="4" borderId="0" xfId="0" applyFont="1" applyFill="1" applyAlignment="1">
      <alignment horizontal="right" wrapText="1"/>
    </xf>
    <xf numFmtId="4" fontId="12" fillId="4" borderId="23" xfId="0" applyNumberFormat="1" applyFont="1" applyFill="1" applyBorder="1" applyAlignment="1">
      <alignment horizontal="right" wrapText="1"/>
    </xf>
    <xf numFmtId="0" fontId="12" fillId="4" borderId="0" xfId="0" applyFont="1" applyFill="1" applyAlignment="1">
      <alignment horizontal="right"/>
    </xf>
    <xf numFmtId="0" fontId="12" fillId="4" borderId="25" xfId="0" applyFont="1" applyFill="1" applyBorder="1" applyAlignment="1">
      <alignment horizontal="right" wrapText="1"/>
    </xf>
    <xf numFmtId="4" fontId="12" fillId="4" borderId="27" xfId="0" applyNumberFormat="1" applyFont="1" applyFill="1" applyBorder="1" applyAlignment="1">
      <alignment horizontal="right" wrapText="1"/>
    </xf>
    <xf numFmtId="4" fontId="12" fillId="0" borderId="20" xfId="0" applyNumberFormat="1" applyFont="1" applyBorder="1"/>
    <xf numFmtId="4" fontId="12" fillId="0" borderId="23" xfId="0" applyNumberFormat="1" applyFont="1" applyBorder="1"/>
    <xf numFmtId="4" fontId="12" fillId="0" borderId="27" xfId="0" applyNumberFormat="1" applyFont="1" applyBorder="1"/>
    <xf numFmtId="0" fontId="14" fillId="4" borderId="14" xfId="0" applyFont="1" applyFill="1" applyBorder="1" applyAlignment="1">
      <alignment vertical="center" wrapText="1"/>
    </xf>
    <xf numFmtId="0" fontId="12" fillId="4" borderId="15" xfId="0" applyFont="1" applyFill="1" applyBorder="1" applyAlignment="1">
      <alignment vertical="center" wrapText="1"/>
    </xf>
    <xf numFmtId="0" fontId="19" fillId="4" borderId="15" xfId="0" applyFont="1" applyFill="1" applyBorder="1" applyAlignment="1">
      <alignment wrapText="1"/>
    </xf>
    <xf numFmtId="4" fontId="12" fillId="4" borderId="28" xfId="0" applyNumberFormat="1" applyFont="1" applyFill="1" applyBorder="1" applyAlignment="1">
      <alignment wrapText="1"/>
    </xf>
    <xf numFmtId="0" fontId="20" fillId="4" borderId="0" xfId="0" applyFont="1" applyFill="1" applyAlignment="1">
      <alignment horizontal="left"/>
    </xf>
    <xf numFmtId="0" fontId="1" fillId="9" borderId="14" xfId="0" applyFont="1" applyFill="1" applyBorder="1" applyAlignment="1">
      <alignment wrapText="1"/>
    </xf>
    <xf numFmtId="0" fontId="14" fillId="0" borderId="14" xfId="0" applyFont="1" applyBorder="1" applyAlignment="1">
      <alignment vertical="center" wrapText="1"/>
    </xf>
    <xf numFmtId="0" fontId="12" fillId="4" borderId="15" xfId="0" applyFont="1" applyFill="1" applyBorder="1" applyAlignment="1">
      <alignment wrapText="1"/>
    </xf>
    <xf numFmtId="0" fontId="12" fillId="0" borderId="15" xfId="0" applyFont="1" applyBorder="1" applyAlignment="1">
      <alignment wrapText="1"/>
    </xf>
    <xf numFmtId="0" fontId="12" fillId="0" borderId="15" xfId="0" applyFont="1" applyBorder="1"/>
    <xf numFmtId="4" fontId="12" fillId="0" borderId="16" xfId="0" applyNumberFormat="1" applyFont="1" applyBorder="1"/>
    <xf numFmtId="4" fontId="12" fillId="0" borderId="28" xfId="0" applyNumberFormat="1" applyFont="1" applyBorder="1"/>
    <xf numFmtId="4" fontId="12" fillId="4" borderId="16" xfId="0" applyNumberFormat="1" applyFont="1" applyFill="1" applyBorder="1" applyAlignment="1">
      <alignment wrapText="1"/>
    </xf>
    <xf numFmtId="0" fontId="14" fillId="4" borderId="24" xfId="0" applyFont="1" applyFill="1" applyBorder="1" applyAlignment="1">
      <alignment vertical="center" wrapText="1"/>
    </xf>
    <xf numFmtId="4" fontId="12" fillId="4" borderId="21" xfId="0" applyNumberFormat="1" applyFont="1" applyFill="1" applyBorder="1" applyAlignment="1">
      <alignment wrapText="1"/>
    </xf>
    <xf numFmtId="4" fontId="21" fillId="4" borderId="27" xfId="0" applyNumberFormat="1" applyFont="1" applyFill="1" applyBorder="1" applyAlignment="1">
      <alignment horizontal="right" wrapText="1"/>
    </xf>
    <xf numFmtId="0" fontId="12" fillId="4" borderId="27" xfId="0" applyFont="1" applyFill="1" applyBorder="1" applyAlignment="1">
      <alignment wrapText="1"/>
    </xf>
    <xf numFmtId="0" fontId="12" fillId="4" borderId="20" xfId="0" applyFont="1" applyFill="1" applyBorder="1" applyAlignment="1">
      <alignment wrapText="1"/>
    </xf>
    <xf numFmtId="0" fontId="12" fillId="4" borderId="23" xfId="0" applyFont="1" applyFill="1" applyBorder="1" applyAlignment="1">
      <alignment wrapText="1"/>
    </xf>
    <xf numFmtId="0" fontId="3" fillId="0" borderId="0" xfId="0" applyFont="1" applyAlignment="1">
      <alignment horizontal="left" wrapText="1"/>
    </xf>
    <xf numFmtId="0" fontId="22" fillId="0" borderId="25" xfId="0" applyFont="1" applyBorder="1" applyAlignment="1">
      <alignment horizontal="left" wrapText="1"/>
    </xf>
    <xf numFmtId="0" fontId="3" fillId="0" borderId="25" xfId="0" applyFont="1" applyBorder="1" applyAlignment="1">
      <alignment horizontal="left" wrapText="1"/>
    </xf>
    <xf numFmtId="0" fontId="23" fillId="0" borderId="0" xfId="0" applyFont="1" applyAlignment="1">
      <alignment horizontal="left" wrapText="1"/>
    </xf>
    <xf numFmtId="0" fontId="22" fillId="0" borderId="27" xfId="0" applyFont="1" applyBorder="1" applyAlignment="1">
      <alignment horizontal="left" wrapText="1"/>
    </xf>
    <xf numFmtId="0" fontId="22" fillId="0" borderId="28" xfId="0" applyFont="1" applyBorder="1" applyAlignment="1">
      <alignment horizontal="left" wrapText="1"/>
    </xf>
    <xf numFmtId="0" fontId="24" fillId="0" borderId="28" xfId="0" applyFont="1" applyBorder="1" applyAlignment="1">
      <alignment horizontal="center" wrapText="1"/>
    </xf>
    <xf numFmtId="0" fontId="23" fillId="0" borderId="0" xfId="0" applyFont="1"/>
    <xf numFmtId="0" fontId="3" fillId="0" borderId="0" xfId="0" applyFont="1"/>
    <xf numFmtId="0" fontId="25" fillId="0" borderId="28" xfId="0" applyFont="1" applyBorder="1" applyAlignment="1">
      <alignment horizontal="left" wrapText="1"/>
    </xf>
    <xf numFmtId="0" fontId="25" fillId="0" borderId="28" xfId="0" applyFont="1" applyBorder="1" applyAlignment="1">
      <alignment horizontal="center" wrapText="1"/>
    </xf>
    <xf numFmtId="0" fontId="26" fillId="0" borderId="0" xfId="0" applyFont="1"/>
    <xf numFmtId="0" fontId="27" fillId="0" borderId="28" xfId="0" applyFont="1" applyBorder="1" applyAlignment="1">
      <alignment horizontal="left" wrapText="1"/>
    </xf>
    <xf numFmtId="0" fontId="28" fillId="0" borderId="28" xfId="0" applyFont="1" applyBorder="1" applyAlignment="1">
      <alignment horizontal="center" wrapText="1"/>
    </xf>
    <xf numFmtId="0" fontId="3" fillId="12" borderId="28" xfId="0" applyFont="1" applyFill="1" applyBorder="1" applyAlignment="1">
      <alignment horizontal="left" wrapText="1"/>
    </xf>
    <xf numFmtId="0" fontId="29" fillId="0" borderId="28" xfId="0" applyFont="1" applyBorder="1" applyAlignment="1">
      <alignment horizontal="left" wrapText="1"/>
    </xf>
    <xf numFmtId="0" fontId="29" fillId="0" borderId="14" xfId="0" applyFont="1" applyBorder="1" applyAlignment="1">
      <alignment horizontal="left" wrapText="1"/>
    </xf>
    <xf numFmtId="0" fontId="3" fillId="0" borderId="16" xfId="0" applyFont="1" applyBorder="1" applyAlignment="1">
      <alignment horizontal="left" wrapText="1"/>
    </xf>
    <xf numFmtId="0" fontId="3" fillId="0" borderId="28" xfId="0" applyFont="1" applyBorder="1" applyAlignment="1">
      <alignment horizontal="left" wrapText="1"/>
    </xf>
    <xf numFmtId="10" fontId="4" fillId="0" borderId="9" xfId="0" applyNumberFormat="1" applyFont="1" applyBorder="1" applyAlignment="1">
      <alignment horizontal="center" vertical="center" wrapText="1"/>
    </xf>
    <xf numFmtId="0" fontId="2" fillId="0" borderId="6" xfId="0" applyFont="1" applyBorder="1"/>
    <xf numFmtId="0" fontId="1" fillId="0" borderId="1" xfId="0" applyFont="1" applyBorder="1" applyAlignment="1">
      <alignment horizontal="center" wrapText="1"/>
    </xf>
    <xf numFmtId="0" fontId="2" fillId="0" borderId="2" xfId="0" applyFont="1" applyBorder="1"/>
    <xf numFmtId="0" fontId="2" fillId="0" borderId="3" xfId="0" applyFont="1" applyBorder="1"/>
    <xf numFmtId="0" fontId="4" fillId="2" borderId="4" xfId="0" applyFont="1" applyFill="1" applyBorder="1" applyAlignment="1">
      <alignment horizontal="center" vertical="center" wrapText="1"/>
    </xf>
    <xf numFmtId="0" fontId="2" fillId="0" borderId="5" xfId="0" applyFont="1" applyBorder="1"/>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2" fillId="0" borderId="13" xfId="0" applyFont="1" applyBorder="1"/>
    <xf numFmtId="4" fontId="7" fillId="0" borderId="8" xfId="0" applyNumberFormat="1" applyFont="1" applyBorder="1" applyAlignment="1">
      <alignment vertical="center"/>
    </xf>
    <xf numFmtId="0" fontId="0" fillId="0" borderId="0" xfId="0"/>
    <xf numFmtId="0" fontId="2" fillId="0" borderId="11" xfId="0" applyFont="1" applyBorder="1"/>
    <xf numFmtId="4" fontId="7" fillId="0" borderId="8" xfId="0" applyNumberFormat="1" applyFont="1" applyBorder="1"/>
    <xf numFmtId="0" fontId="4" fillId="3" borderId="7" xfId="0" applyFont="1" applyFill="1" applyBorder="1" applyAlignment="1">
      <alignment horizontal="center" vertical="center" wrapText="1"/>
    </xf>
    <xf numFmtId="0" fontId="2" fillId="0" borderId="10" xfId="0" applyFont="1" applyBorder="1"/>
    <xf numFmtId="0" fontId="4" fillId="6" borderId="7" xfId="0" applyFont="1" applyFill="1" applyBorder="1" applyAlignment="1">
      <alignment horizontal="center" vertical="center" wrapText="1"/>
    </xf>
    <xf numFmtId="0" fontId="2" fillId="0" borderId="12" xfId="0" applyFont="1" applyBorder="1"/>
    <xf numFmtId="0" fontId="4" fillId="7" borderId="7"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12" fillId="4" borderId="19" xfId="0" applyFont="1" applyFill="1" applyBorder="1" applyAlignment="1">
      <alignment vertical="center" wrapText="1"/>
    </xf>
    <xf numFmtId="0" fontId="12" fillId="4" borderId="0" xfId="0" applyFont="1" applyFill="1" applyAlignment="1">
      <alignment vertical="center" wrapText="1"/>
    </xf>
    <xf numFmtId="0" fontId="1" fillId="0" borderId="14" xfId="0" applyFont="1" applyBorder="1" applyAlignment="1">
      <alignment horizontal="center" wrapText="1"/>
    </xf>
    <xf numFmtId="0" fontId="2" fillId="0" borderId="15" xfId="0" applyFont="1" applyBorder="1"/>
    <xf numFmtId="0" fontId="2" fillId="0" borderId="16" xfId="0" applyFont="1" applyBorder="1"/>
    <xf numFmtId="0" fontId="1" fillId="10" borderId="17" xfId="0" applyFont="1" applyFill="1" applyBorder="1" applyAlignment="1">
      <alignment vertical="center" wrapText="1"/>
    </xf>
    <xf numFmtId="0" fontId="2" fillId="0" borderId="21" xfId="0" applyFont="1" applyBorder="1"/>
    <xf numFmtId="0" fontId="2" fillId="0" borderId="26" xfId="0" applyFont="1" applyBorder="1"/>
    <xf numFmtId="0" fontId="14" fillId="4" borderId="18" xfId="0" applyFont="1" applyFill="1" applyBorder="1" applyAlignment="1">
      <alignment vertical="center" wrapText="1"/>
    </xf>
    <xf numFmtId="0" fontId="2" fillId="0" borderId="22" xfId="0" applyFont="1" applyBorder="1"/>
    <xf numFmtId="0" fontId="2" fillId="0" borderId="24" xfId="0" applyFont="1" applyBorder="1"/>
    <xf numFmtId="0" fontId="2" fillId="0" borderId="25" xfId="0" applyFont="1" applyBorder="1"/>
    <xf numFmtId="4" fontId="12" fillId="4" borderId="20" xfId="0" applyNumberFormat="1" applyFont="1" applyFill="1" applyBorder="1" applyAlignment="1">
      <alignment wrapText="1"/>
    </xf>
    <xf numFmtId="0" fontId="2" fillId="0" borderId="23" xfId="0" applyFont="1" applyBorder="1"/>
    <xf numFmtId="4" fontId="12" fillId="4" borderId="17" xfId="0" applyNumberFormat="1" applyFont="1" applyFill="1" applyBorder="1" applyAlignment="1">
      <alignment wrapText="1"/>
    </xf>
    <xf numFmtId="0" fontId="1" fillId="3" borderId="21" xfId="0" applyFont="1" applyFill="1" applyBorder="1" applyAlignment="1">
      <alignment vertical="center" wrapText="1"/>
    </xf>
    <xf numFmtId="0" fontId="1" fillId="6" borderId="21" xfId="0" applyFont="1" applyFill="1" applyBorder="1" applyAlignment="1">
      <alignment vertical="center" wrapText="1"/>
    </xf>
    <xf numFmtId="0" fontId="14" fillId="4" borderId="22" xfId="0" applyFont="1" applyFill="1" applyBorder="1" applyAlignment="1">
      <alignment vertical="center" wrapText="1"/>
    </xf>
    <xf numFmtId="0" fontId="1" fillId="9" borderId="18" xfId="0" applyFont="1" applyFill="1" applyBorder="1" applyAlignment="1">
      <alignment vertical="center" wrapText="1"/>
    </xf>
    <xf numFmtId="0" fontId="14" fillId="0" borderId="18" xfId="0" applyFont="1" applyBorder="1" applyAlignment="1">
      <alignment vertical="center" wrapText="1"/>
    </xf>
    <xf numFmtId="0" fontId="1" fillId="7" borderId="17" xfId="0" applyFont="1" applyFill="1" applyBorder="1" applyAlignment="1">
      <alignment vertical="center" wrapText="1"/>
    </xf>
    <xf numFmtId="4" fontId="12" fillId="0" borderId="17" xfId="0" applyNumberFormat="1" applyFont="1" applyBorder="1"/>
    <xf numFmtId="0" fontId="25" fillId="0" borderId="17" xfId="0" applyFont="1" applyBorder="1" applyAlignment="1">
      <alignment horizontal="left" wrapText="1"/>
    </xf>
    <xf numFmtId="0" fontId="22" fillId="0" borderId="15" xfId="0" applyFont="1" applyBorder="1" applyAlignment="1">
      <alignment horizontal="center" wrapText="1"/>
    </xf>
    <xf numFmtId="0" fontId="22" fillId="0" borderId="14"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penggadgets.co.uk/accessories/samsung-ep-ta50ewe-usb-power-adapter-plug-1-5a-5v-white/" TargetMode="External"/><Relationship Id="rId2" Type="http://schemas.openxmlformats.org/officeDocument/2006/relationships/hyperlink" Target="https://ictcart.com/consumables-and-pc-components/319-tempered-glass-screen-protector.html" TargetMode="External"/><Relationship Id="rId1" Type="http://schemas.openxmlformats.org/officeDocument/2006/relationships/hyperlink" Target="https://www.thephonograph.net/headphones-earphones-weight-comparis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irmilescalculator.com/distance/dxb-to-kgl/" TargetMode="External"/><Relationship Id="rId3" Type="http://schemas.openxmlformats.org/officeDocument/2006/relationships/hyperlink" Target="https://www.fluentcargo.com/routes/hanoi-vn/dubai-ae" TargetMode="External"/><Relationship Id="rId7" Type="http://schemas.openxmlformats.org/officeDocument/2006/relationships/hyperlink" Target="https://www.airmilescalculator.com/distance/dxb-to-kgl/" TargetMode="External"/><Relationship Id="rId2" Type="http://schemas.openxmlformats.org/officeDocument/2006/relationships/hyperlink" Target="https://www.fluentcargo.com/routes/hanoi-vn/dubai-ae" TargetMode="External"/><Relationship Id="rId1" Type="http://schemas.openxmlformats.org/officeDocument/2006/relationships/hyperlink" Target="https://www.atmosfair.de/en/offset/flight/" TargetMode="External"/><Relationship Id="rId6" Type="http://schemas.openxmlformats.org/officeDocument/2006/relationships/hyperlink" Target="https://www.airmilescalculator.com/distance/dxb-to-kgl/" TargetMode="External"/><Relationship Id="rId5" Type="http://schemas.openxmlformats.org/officeDocument/2006/relationships/hyperlink" Target="https://www.fluentcargo.com/routes/hanoi-vn/dubai-ae" TargetMode="External"/><Relationship Id="rId10" Type="http://schemas.openxmlformats.org/officeDocument/2006/relationships/hyperlink" Target="https://www.fluentcargo.com/routes/hanoi-vn/dubai-ae" TargetMode="External"/><Relationship Id="rId4" Type="http://schemas.openxmlformats.org/officeDocument/2006/relationships/hyperlink" Target="https://www.fluentcargo.com/routes/hanoi-vn/dubai-ae" TargetMode="External"/><Relationship Id="rId9" Type="http://schemas.openxmlformats.org/officeDocument/2006/relationships/hyperlink" Target="https://www.airmilescalculator.com/distance/dxb-to-kg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slashplan.com/tablet-computer-energy-calculator-cost-and-kwh-usage/" TargetMode="External"/><Relationship Id="rId3" Type="http://schemas.openxmlformats.org/officeDocument/2006/relationships/hyperlink" Target="https://energyusecalculator.com/global_electricity_prices.htm" TargetMode="External"/><Relationship Id="rId7" Type="http://schemas.openxmlformats.org/officeDocument/2006/relationships/hyperlink" Target="https://www.slashplan.com/tablet-computer-energy-calculator-cost-and-kwh-usage/" TargetMode="External"/><Relationship Id="rId2" Type="http://schemas.openxmlformats.org/officeDocument/2006/relationships/hyperlink" Target="https://www.slashplan.com/tablet-computer-energy-calculator-cost-and-kwh-usage/" TargetMode="External"/><Relationship Id="rId1" Type="http://schemas.openxmlformats.org/officeDocument/2006/relationships/hyperlink" Target="https://www.slashplan.com/tablet-computer-energy-calculator-cost-and-kwh-usage/" TargetMode="External"/><Relationship Id="rId6" Type="http://schemas.openxmlformats.org/officeDocument/2006/relationships/hyperlink" Target="https://energyusecalculator.com/global_electricity_prices.htm" TargetMode="External"/><Relationship Id="rId5" Type="http://schemas.openxmlformats.org/officeDocument/2006/relationships/hyperlink" Target="https://energyusecalculator.com/global_electricity_prices.htm" TargetMode="External"/><Relationship Id="rId10" Type="http://schemas.openxmlformats.org/officeDocument/2006/relationships/hyperlink" Target="https://www.energybot.com/energy-usage/telephone.html" TargetMode="External"/><Relationship Id="rId4" Type="http://schemas.openxmlformats.org/officeDocument/2006/relationships/hyperlink" Target="https://www.slashplan.com/tablet-computer-energy-calculator-cost-and-kwh-usage/" TargetMode="External"/><Relationship Id="rId9" Type="http://schemas.openxmlformats.org/officeDocument/2006/relationships/hyperlink" Target="https://www.slashplan.com/tablet-computer-energy-calculator-cost-and-kwh-usag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amazon.co.uk/Bic-marking-colour-permanent-assorted/dp/B01LX7RJNH?source=ps-sl-shoppingads-lpcontext&amp;ref_=fplfs&amp;psc=1&amp;smid=A13SFYS7A7JPR" TargetMode="External"/><Relationship Id="rId3" Type="http://schemas.openxmlformats.org/officeDocument/2006/relationships/hyperlink" Target="https://rwandainspirer.com/2019/02/05/new-water-prices-mean-you-have-to-pay-more-for-water-at-home-and-non-residential-places/" TargetMode="External"/><Relationship Id="rId7" Type="http://schemas.openxmlformats.org/officeDocument/2006/relationships/hyperlink" Target="https://www.reprintbrighton.com/facts/paper-weight-guide/" TargetMode="External"/><Relationship Id="rId12" Type="http://schemas.openxmlformats.org/officeDocument/2006/relationships/hyperlink" Target="https://www.amazon.co.uk/Bic-marking-colour-permanent-assorted/dp/B01LX7RJNH?source=ps-sl-shoppingads-lpcontext&amp;ref_=fplfs&amp;psc=1&amp;smid=A13SFYS7A7JPR" TargetMode="External"/><Relationship Id="rId2" Type="http://schemas.openxmlformats.org/officeDocument/2006/relationships/hyperlink" Target="https://rwandainspirer.com/2019/02/05/new-water-prices-mean-you-have-to-pay-more-for-water-at-home-and-non-residential-places/" TargetMode="External"/><Relationship Id="rId1" Type="http://schemas.openxmlformats.org/officeDocument/2006/relationships/hyperlink" Target="https://rwandainspirer.com/2019/02/05/new-water-prices-mean-you-have-to-pay-more-for-water-at-home-and-non-residential-places/" TargetMode="External"/><Relationship Id="rId6" Type="http://schemas.openxmlformats.org/officeDocument/2006/relationships/hyperlink" Target="https://www.researchgate.net/figure/Average-amount-of-foods-consumed-grams-per-person-daily-in-FHILL-cohorts_tbl1_8479516" TargetMode="External"/><Relationship Id="rId11" Type="http://schemas.openxmlformats.org/officeDocument/2006/relationships/hyperlink" Target="https://www.reprintbrighton.com/facts/paper-weight-guide/" TargetMode="External"/><Relationship Id="rId5" Type="http://schemas.openxmlformats.org/officeDocument/2006/relationships/hyperlink" Target="https://rwandainspirer.com/2019/02/05/new-water-prices-mean-you-have-to-pay-more-for-water-at-home-and-non-residential-places/" TargetMode="External"/><Relationship Id="rId10" Type="http://schemas.openxmlformats.org/officeDocument/2006/relationships/hyperlink" Target="https://rwandainspirer.com/2019/02/05/new-water-prices-mean-you-have-to-pay-more-for-water-at-home-and-non-residential-places/" TargetMode="External"/><Relationship Id="rId4" Type="http://schemas.openxmlformats.org/officeDocument/2006/relationships/hyperlink" Target="https://rwandainspirer.com/2019/02/05/new-water-prices-mean-you-have-to-pay-more-for-water-at-home-and-non-residential-places/" TargetMode="External"/><Relationship Id="rId9" Type="http://schemas.openxmlformats.org/officeDocument/2006/relationships/hyperlink" Target="https://rwandainspirer.com/2019/02/05/new-water-prices-mean-you-have-to-pay-more-for-water-at-home-and-non-residential-plac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oogle.com/maps/dir/Kigali,+Rwanda/Groupe+Scolaire+Remera+Rukoma,+Taba,+Rwanda/@-1.9709981,29.9346165,13z/data=!3m1!4b1!4m14!4m13!1m5!1m1!1s0x19dca4258ed8e797:0xf32b36a5411d0bc8!2m2!1d30.0618851!2d-1.9440727!1m5!1m1!1s0x19dcbbbee31b93df:0x20d4b9b43f081b70!2m2!1d29.9076558!2d-1.9412695!3e0?entry=ttu" TargetMode="External"/><Relationship Id="rId7" Type="http://schemas.openxmlformats.org/officeDocument/2006/relationships/hyperlink" Target="https://www.google.com/maps/dir/Kigali,+Rwanda/TTC+Muramba,+Rwanda/@-1.7881766,29.449846,10z/data=!3m1!4b1!4m14!4m13!1m5!1m1!1s0x19dca4258ed8e797:0xf32b36a5411d0bc8!2m2!1d30.0618851!2d-1.9440727!1m5!1m1!1s0x19dcef988b8cf777:0x5848f9dfa0ffbc9e!2m2!1d29.6135195!2d-1.7650429!3e0?entry=ttu" TargetMode="External"/><Relationship Id="rId2" Type="http://schemas.openxmlformats.org/officeDocument/2006/relationships/hyperlink" Target="https://www.google.com/maps/dir/Kigali,+Rwanda/TTC+Save,+Ngoma,+Rwanda/@-2.244732,29.6477622,10z/data=!3m1!4b1!4m14!4m13!1m5!1m1!1s0x19dca4258ed8e797:0xf32b36a5411d0bc8!2m2!1d30.0618851!2d-1.9440727!1m5!1m1!1s0x19c312a756893975:0x5567af1008c18126!2m2!1d29.7729468!2d-2.5507113!3e0?entry=ttu" TargetMode="External"/><Relationship Id="rId1" Type="http://schemas.openxmlformats.org/officeDocument/2006/relationships/hyperlink" Target="https://www.google.com/maps/dir/Kigali,+Rwanda/TTC+MURURU,+Mururu+Sector,+Rwanda/@-2.0435601,28.818664,9z/data=!3m1!4b1!4m14!4m13!1m5!1m1!1s0x19dca4258ed8e797:0xf32b36a5411d0bc8!2m2!1d30.0618851!2d-1.9440727!1m5!1m1!1s0x19c291a1a669e52b:0x34fc975f12c92075!2m2!1d28.8952168!2d-2.5067724!3e0?entry=ttu" TargetMode="External"/><Relationship Id="rId6" Type="http://schemas.openxmlformats.org/officeDocument/2006/relationships/hyperlink" Target="https://www.google.com/maps/dir/Kigali,+Rwanda/Ecole+des+Sciences+de+Musanze,+Ruhengeri,+Musanze,+Rwanda/@-1.7101534,29.6476912,10.48z/data=!4m14!4m13!1m5!1m1!1s0x19dca4258ed8e797:0xf32b36a5411d0bc8!2m2!1d30.0618851!2d-1.9440727!1m5!1m1!1s0x19dc5a71a3cacbf5:0xa0fbad27f5de89ff!2m2!1d29.6126579!2d-1.5022498!3e0?entry=ttu" TargetMode="External"/><Relationship Id="rId5" Type="http://schemas.openxmlformats.org/officeDocument/2006/relationships/hyperlink" Target="https://www.google.com/maps/dir/Kigali,+Rwanda/Kayonza+Modern+School,+2+B,+Rwanda/@-1.937956,30.1185192,11z/data=!3m1!4b1!4m14!4m13!1m5!1m1!1s0x19dca4258ed8e797:0xf32b36a5411d0bc8!2m2!1d30.0618851!2d-1.9440727!1m5!1m1!1s0x19db473fbaa211b9:0xa3f0a27df8b6e4c5!2m2!1d30.5023384!2d-1.9317364!3e0?entry=ttu" TargetMode="External"/><Relationship Id="rId4" Type="http://schemas.openxmlformats.org/officeDocument/2006/relationships/hyperlink" Target="https://www.google.com/maps/dir/Kigali,+Rwanda/Ttc+De+La+Salle+Byumba,+Kibali,+Rwanda/@-1.7583006,29.9223797,11z/data=!3m1!4b1!4m14!4m13!1m5!1m1!1s0x19dca4258ed8e797:0xf32b36a5411d0bc8!2m2!1d30.0618851!2d-1.9440727!1m5!1m1!1s0x19dc7defb9bc2a59:0x510465c45f7aeef2!2m2!1d30.0525333!2d-1.5727928!3e0?entry=tt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89"/>
  <sheetViews>
    <sheetView tabSelected="1" workbookViewId="0">
      <selection activeCell="B21" sqref="B21"/>
    </sheetView>
  </sheetViews>
  <sheetFormatPr baseColWidth="10" defaultColWidth="12.6640625" defaultRowHeight="13"/>
  <cols>
    <col min="1" max="7" width="21.1640625" customWidth="1"/>
    <col min="8" max="10" width="15.1640625" customWidth="1"/>
  </cols>
  <sheetData>
    <row r="1" spans="1:17" ht="25" customHeight="1">
      <c r="A1" s="131" t="s">
        <v>0</v>
      </c>
      <c r="B1" s="132"/>
      <c r="C1" s="132"/>
      <c r="D1" s="132"/>
      <c r="E1" s="132"/>
      <c r="F1" s="132"/>
      <c r="G1" s="132"/>
      <c r="H1" s="132"/>
      <c r="I1" s="132"/>
      <c r="J1" s="133"/>
      <c r="K1" s="1"/>
      <c r="L1" s="1"/>
      <c r="M1" s="1"/>
    </row>
    <row r="2" spans="1:17" ht="15">
      <c r="A2" s="134" t="s">
        <v>1</v>
      </c>
      <c r="B2" s="134" t="s">
        <v>2</v>
      </c>
      <c r="C2" s="136" t="s">
        <v>3</v>
      </c>
      <c r="D2" s="132"/>
      <c r="E2" s="132"/>
      <c r="F2" s="132"/>
      <c r="G2" s="133"/>
      <c r="H2" s="137" t="s">
        <v>4</v>
      </c>
      <c r="I2" s="132"/>
      <c r="J2" s="133"/>
      <c r="K2" s="1"/>
      <c r="L2" s="1"/>
      <c r="M2" s="1"/>
    </row>
    <row r="3" spans="1:17" ht="60">
      <c r="A3" s="135"/>
      <c r="B3" s="135"/>
      <c r="C3" s="2" t="s">
        <v>5</v>
      </c>
      <c r="D3" s="3" t="s">
        <v>6</v>
      </c>
      <c r="E3" s="3" t="s">
        <v>7</v>
      </c>
      <c r="F3" s="3" t="s">
        <v>8</v>
      </c>
      <c r="G3" s="4" t="s">
        <v>9</v>
      </c>
      <c r="H3" s="5" t="s">
        <v>10</v>
      </c>
      <c r="I3" s="5" t="s">
        <v>11</v>
      </c>
      <c r="J3" s="6" t="s">
        <v>12</v>
      </c>
      <c r="K3" s="1"/>
      <c r="L3" s="1"/>
      <c r="M3" s="7"/>
      <c r="N3" s="8"/>
      <c r="O3" s="8"/>
      <c r="P3" s="8"/>
      <c r="Q3" s="8"/>
    </row>
    <row r="4" spans="1:17" ht="40">
      <c r="A4" s="143" t="s">
        <v>13</v>
      </c>
      <c r="B4" s="9" t="s">
        <v>14</v>
      </c>
      <c r="C4" s="10"/>
      <c r="D4" s="11">
        <f>SUM('Transportation + Distribution'!L3)</f>
        <v>22746.556912614291</v>
      </c>
      <c r="E4" s="11">
        <f>SUM('Energy Usage'!L3)</f>
        <v>1462.117105</v>
      </c>
      <c r="F4" s="11">
        <f>SUM('Additional resources'!L3)</f>
        <v>6252.7343999999994</v>
      </c>
      <c r="G4" s="12">
        <f>SUM(Accommodation!L3)</f>
        <v>1411.1999999999998</v>
      </c>
      <c r="H4" s="13">
        <f t="shared" ref="H4:H5" si="0">SUM(C4:G4)</f>
        <v>31872.608417614294</v>
      </c>
      <c r="I4" s="139">
        <f>SUM(H4:H5)</f>
        <v>58375.533948600016</v>
      </c>
      <c r="J4" s="129">
        <f>SUM((I4/I20))</f>
        <v>8.244307696839856E-2</v>
      </c>
      <c r="K4" s="1"/>
      <c r="L4" s="1"/>
      <c r="M4" s="7"/>
      <c r="N4" s="8"/>
      <c r="O4" s="8"/>
      <c r="P4" s="8"/>
      <c r="Q4" s="8"/>
    </row>
    <row r="5" spans="1:17" ht="40">
      <c r="A5" s="144"/>
      <c r="B5" s="14" t="s">
        <v>15</v>
      </c>
      <c r="C5" s="15"/>
      <c r="D5" s="16">
        <f>SUM('Transportation + Distribution'!L7)</f>
        <v>19075.623225985717</v>
      </c>
      <c r="E5" s="16">
        <f>SUM('Energy Usage'!L5)</f>
        <v>1098.516705</v>
      </c>
      <c r="F5" s="16">
        <f>SUM('Additional resources'!L5)</f>
        <v>5270.3856000000005</v>
      </c>
      <c r="G5" s="17">
        <f>SUM(Accommodation!L4)</f>
        <v>1058.3999999999999</v>
      </c>
      <c r="H5" s="18">
        <f t="shared" si="0"/>
        <v>26502.925530985718</v>
      </c>
      <c r="I5" s="141"/>
      <c r="J5" s="130"/>
      <c r="K5" s="1"/>
      <c r="L5" s="1"/>
      <c r="M5" s="7"/>
      <c r="N5" s="8"/>
      <c r="O5" s="8"/>
      <c r="P5" s="8"/>
      <c r="Q5" s="8"/>
    </row>
    <row r="6" spans="1:17" ht="40">
      <c r="A6" s="19"/>
      <c r="B6" s="20" t="s">
        <v>16</v>
      </c>
      <c r="C6" s="21">
        <f t="shared" ref="C6:G6" si="1">SUM(C4:C5)</f>
        <v>0</v>
      </c>
      <c r="D6" s="21">
        <f t="shared" si="1"/>
        <v>41822.180138600008</v>
      </c>
      <c r="E6" s="21">
        <f t="shared" si="1"/>
        <v>2560.6338100000003</v>
      </c>
      <c r="F6" s="21">
        <f t="shared" si="1"/>
        <v>11523.119999999999</v>
      </c>
      <c r="G6" s="22">
        <f t="shared" si="1"/>
        <v>2469.5999999999995</v>
      </c>
      <c r="H6" s="23"/>
      <c r="I6" s="24"/>
      <c r="J6" s="25"/>
      <c r="K6" s="1"/>
      <c r="L6" s="7"/>
      <c r="M6" s="7"/>
      <c r="N6" s="8"/>
      <c r="O6" s="8"/>
      <c r="P6" s="8"/>
      <c r="Q6" s="8"/>
    </row>
    <row r="7" spans="1:17" ht="40">
      <c r="A7" s="145" t="s">
        <v>17</v>
      </c>
      <c r="B7" s="9" t="s">
        <v>18</v>
      </c>
      <c r="C7" s="10"/>
      <c r="D7" s="11">
        <f>SUM('Transportation + Distribution'!L11)</f>
        <v>2077.7207024571426</v>
      </c>
      <c r="E7" s="11">
        <f>SUM('Energy Usage'!L7)</f>
        <v>328.31459999999998</v>
      </c>
      <c r="F7" s="11">
        <f>SUM('Additional resources'!L7)</f>
        <v>34.847999999999999</v>
      </c>
      <c r="G7" s="26"/>
      <c r="H7" s="13">
        <f t="shared" ref="H7:H9" si="2">SUM(C7:G7)</f>
        <v>2440.8833024571427</v>
      </c>
      <c r="I7" s="139">
        <f>SUM(H7:H9)</f>
        <v>293989.51634261425</v>
      </c>
      <c r="J7" s="129">
        <f>SUM(I7/I20)</f>
        <v>0.41519792084604451</v>
      </c>
      <c r="K7" s="1"/>
      <c r="L7" s="7"/>
      <c r="M7" s="7"/>
      <c r="N7" s="8"/>
      <c r="O7" s="8"/>
      <c r="P7" s="8"/>
      <c r="Q7" s="8"/>
    </row>
    <row r="8" spans="1:17" ht="40">
      <c r="A8" s="146"/>
      <c r="B8" s="20" t="s">
        <v>19</v>
      </c>
      <c r="C8" s="27"/>
      <c r="D8" s="28">
        <f>SUM('Transportation + Distribution'!L15)</f>
        <v>333.27111201428579</v>
      </c>
      <c r="E8" s="28">
        <f>SUM('Energy Usage'!L9)</f>
        <v>216.63839999999999</v>
      </c>
      <c r="F8" s="28">
        <f>SUM('Additional resources'!L8)</f>
        <v>34.847999999999999</v>
      </c>
      <c r="G8" s="29"/>
      <c r="H8" s="30">
        <f t="shared" si="2"/>
        <v>584.75751201428579</v>
      </c>
      <c r="I8" s="140"/>
      <c r="J8" s="138"/>
      <c r="K8" s="1"/>
      <c r="L8" s="1"/>
      <c r="M8" s="7"/>
      <c r="N8" s="8"/>
      <c r="O8" s="8"/>
      <c r="P8" s="8"/>
      <c r="Q8" s="8"/>
    </row>
    <row r="9" spans="1:17" ht="40">
      <c r="A9" s="144"/>
      <c r="B9" s="14" t="s">
        <v>20</v>
      </c>
      <c r="C9" s="15"/>
      <c r="D9" s="16">
        <f>SUM('Transportation + Distribution'!L18)</f>
        <v>82942.310459142856</v>
      </c>
      <c r="E9" s="16">
        <f>SUM('Energy Usage'!L10)</f>
        <v>6848.8767999999991</v>
      </c>
      <c r="F9" s="16">
        <f>SUM('Additional resources'!L9)</f>
        <v>190278.20026899999</v>
      </c>
      <c r="G9" s="17">
        <f>SUM(Accommodation!L5)</f>
        <v>10894.487999999999</v>
      </c>
      <c r="H9" s="18">
        <f t="shared" si="2"/>
        <v>290963.87552814285</v>
      </c>
      <c r="I9" s="141"/>
      <c r="J9" s="130"/>
      <c r="K9" s="1"/>
      <c r="L9" s="1"/>
      <c r="M9" s="7"/>
      <c r="N9" s="8"/>
      <c r="O9" s="8"/>
      <c r="P9" s="8"/>
      <c r="Q9" s="8"/>
    </row>
    <row r="10" spans="1:17" ht="20">
      <c r="A10" s="19"/>
      <c r="B10" s="20" t="s">
        <v>21</v>
      </c>
      <c r="C10" s="21">
        <f t="shared" ref="C10:G10" si="3">SUM(C7:C9)</f>
        <v>0</v>
      </c>
      <c r="D10" s="21">
        <f t="shared" si="3"/>
        <v>85353.302273614288</v>
      </c>
      <c r="E10" s="21">
        <f t="shared" si="3"/>
        <v>7393.8297999999995</v>
      </c>
      <c r="F10" s="21">
        <f t="shared" si="3"/>
        <v>190347.89626899999</v>
      </c>
      <c r="G10" s="22">
        <f t="shared" si="3"/>
        <v>10894.487999999999</v>
      </c>
      <c r="H10" s="23"/>
      <c r="I10" s="24"/>
      <c r="J10" s="25"/>
      <c r="K10" s="1"/>
      <c r="L10" s="1"/>
      <c r="M10" s="7"/>
      <c r="N10" s="8"/>
      <c r="O10" s="8"/>
      <c r="P10" s="8"/>
      <c r="Q10" s="8"/>
    </row>
    <row r="11" spans="1:17" ht="40">
      <c r="A11" s="147" t="s">
        <v>22</v>
      </c>
      <c r="B11" s="9" t="s">
        <v>23</v>
      </c>
      <c r="C11" s="10"/>
      <c r="D11" s="11">
        <f>SUM('Transportation + Distribution'!L24)</f>
        <v>4807.3353920000009</v>
      </c>
      <c r="E11" s="10"/>
      <c r="F11" s="10"/>
      <c r="G11" s="26"/>
      <c r="H11" s="13">
        <f t="shared" ref="H11:H14" si="4">SUM(C11:G11)</f>
        <v>4807.3353920000009</v>
      </c>
      <c r="I11" s="139">
        <f>SUM(H11:H14)</f>
        <v>62599.926299537154</v>
      </c>
      <c r="J11" s="129">
        <f>SUM(I11/I20)</f>
        <v>8.8409136380200773E-2</v>
      </c>
      <c r="K11" s="1"/>
      <c r="L11" s="1"/>
      <c r="M11" s="7"/>
      <c r="N11" s="8"/>
      <c r="O11" s="8"/>
      <c r="P11" s="8"/>
      <c r="Q11" s="8"/>
    </row>
    <row r="12" spans="1:17" ht="40">
      <c r="A12" s="146"/>
      <c r="B12" s="20" t="s">
        <v>24</v>
      </c>
      <c r="C12" s="27"/>
      <c r="D12" s="28">
        <f>SUM('Transportation + Distribution'!L32)</f>
        <v>1219.686305142857</v>
      </c>
      <c r="E12" s="28">
        <f>SUM('Energy Usage'!L11)</f>
        <v>18.631349999999998</v>
      </c>
      <c r="F12" s="28">
        <f>SUM('Additional resources'!L20)</f>
        <v>1.452</v>
      </c>
      <c r="G12" s="29"/>
      <c r="H12" s="30">
        <f t="shared" si="4"/>
        <v>1239.7696551428569</v>
      </c>
      <c r="I12" s="140"/>
      <c r="J12" s="138"/>
      <c r="K12" s="1"/>
      <c r="L12" s="1"/>
      <c r="M12" s="7"/>
      <c r="N12" s="8"/>
      <c r="O12" s="8"/>
      <c r="P12" s="8"/>
      <c r="Q12" s="8"/>
    </row>
    <row r="13" spans="1:17" ht="40">
      <c r="A13" s="146"/>
      <c r="B13" s="20" t="s">
        <v>25</v>
      </c>
      <c r="C13" s="27"/>
      <c r="D13" s="27"/>
      <c r="E13" s="28">
        <f>SUM('Energy Usage'!L13)</f>
        <v>1142.1633000000002</v>
      </c>
      <c r="F13" s="27"/>
      <c r="G13" s="29"/>
      <c r="H13" s="30">
        <f t="shared" si="4"/>
        <v>1142.1633000000002</v>
      </c>
      <c r="I13" s="140"/>
      <c r="J13" s="138"/>
      <c r="K13" s="1"/>
      <c r="L13" s="1"/>
      <c r="M13" s="7"/>
      <c r="N13" s="8"/>
      <c r="O13" s="8"/>
      <c r="P13" s="8"/>
      <c r="Q13" s="8"/>
    </row>
    <row r="14" spans="1:17" ht="40">
      <c r="A14" s="144"/>
      <c r="B14" s="14" t="s">
        <v>26</v>
      </c>
      <c r="C14" s="15"/>
      <c r="D14" s="16">
        <f>SUM('Transportation + Distribution'!L35)</f>
        <v>44122.497952394289</v>
      </c>
      <c r="E14" s="15"/>
      <c r="F14" s="16">
        <f>SUM('Additional resources'!L21)</f>
        <v>11288.16</v>
      </c>
      <c r="G14" s="31"/>
      <c r="H14" s="18">
        <f t="shared" si="4"/>
        <v>55410.657952394293</v>
      </c>
      <c r="I14" s="141"/>
      <c r="J14" s="130"/>
      <c r="K14" s="1"/>
      <c r="L14" s="1"/>
      <c r="M14" s="7"/>
      <c r="N14" s="8"/>
      <c r="O14" s="8"/>
      <c r="P14" s="8"/>
      <c r="Q14" s="8"/>
    </row>
    <row r="15" spans="1:17" ht="20">
      <c r="A15" s="32"/>
      <c r="B15" s="20" t="s">
        <v>27</v>
      </c>
      <c r="C15" s="21">
        <f t="shared" ref="C15:F15" si="5">SUM(C11:C14)</f>
        <v>0</v>
      </c>
      <c r="D15" s="21">
        <f t="shared" si="5"/>
        <v>50149.519649537149</v>
      </c>
      <c r="E15" s="21">
        <f t="shared" si="5"/>
        <v>1160.7946500000003</v>
      </c>
      <c r="F15" s="21">
        <f t="shared" si="5"/>
        <v>11289.611999999999</v>
      </c>
      <c r="G15" s="22">
        <f>SUM(G12:G14)</f>
        <v>0</v>
      </c>
      <c r="H15" s="23"/>
      <c r="I15" s="24"/>
      <c r="J15" s="25"/>
      <c r="K15" s="1"/>
      <c r="L15" s="1"/>
      <c r="M15" s="7"/>
      <c r="N15" s="8"/>
      <c r="O15" s="8"/>
      <c r="P15" s="8"/>
      <c r="Q15" s="8"/>
    </row>
    <row r="16" spans="1:17" ht="80">
      <c r="A16" s="33" t="s">
        <v>28</v>
      </c>
      <c r="B16" s="34" t="s">
        <v>29</v>
      </c>
      <c r="C16" s="35"/>
      <c r="D16" s="36">
        <f>SUM('Transportation + Distribution'!L47)</f>
        <v>10945.324941942858</v>
      </c>
      <c r="E16" s="36">
        <f>SUM('Energy Usage'!L16)</f>
        <v>630.81759999999997</v>
      </c>
      <c r="F16" s="36">
        <f>SUM('Additional resources'!L22)</f>
        <v>549.47707000000003</v>
      </c>
      <c r="G16" s="37"/>
      <c r="H16" s="38">
        <f>SUM(C16:G16)</f>
        <v>12125.619611942859</v>
      </c>
      <c r="I16" s="39">
        <f>SUM(H16)</f>
        <v>12125.619611942859</v>
      </c>
      <c r="J16" s="40">
        <f>SUM(I16/I20)</f>
        <v>1.7124869330311328E-2</v>
      </c>
      <c r="K16" s="1"/>
      <c r="L16" s="1"/>
      <c r="M16" s="1"/>
    </row>
    <row r="17" spans="1:13" ht="19">
      <c r="A17" s="41"/>
      <c r="B17" s="42"/>
      <c r="C17" s="35"/>
      <c r="D17" s="35"/>
      <c r="E17" s="35"/>
      <c r="F17" s="35"/>
      <c r="G17" s="37"/>
      <c r="H17" s="43"/>
      <c r="I17" s="44"/>
      <c r="J17" s="45"/>
      <c r="K17" s="1"/>
      <c r="L17" s="1"/>
      <c r="M17" s="1"/>
    </row>
    <row r="18" spans="1:13" ht="40">
      <c r="A18" s="148" t="s">
        <v>30</v>
      </c>
      <c r="B18" s="9" t="s">
        <v>23</v>
      </c>
      <c r="C18" s="46">
        <f>SUM('Hardware Manufacturing + Repair'!L3)</f>
        <v>266392.41407999996</v>
      </c>
      <c r="D18" s="10"/>
      <c r="E18" s="10"/>
      <c r="F18" s="10"/>
      <c r="G18" s="10"/>
      <c r="H18" s="13">
        <f t="shared" ref="H18:H19" si="6">SUM(C18:G18)</f>
        <v>266392.41407999996</v>
      </c>
      <c r="I18" s="142">
        <f>SUM(H18:H19)</f>
        <v>280980.18542249996</v>
      </c>
      <c r="J18" s="129">
        <f>SUM(I18/I20)</f>
        <v>0.39682499647504482</v>
      </c>
      <c r="K18" s="1"/>
      <c r="L18" s="1"/>
      <c r="M18" s="1"/>
    </row>
    <row r="19" spans="1:13" ht="40">
      <c r="A19" s="144"/>
      <c r="B19" s="14" t="s">
        <v>26</v>
      </c>
      <c r="C19" s="47">
        <f>SUM('Hardware Manufacturing + Repair'!L7)</f>
        <v>14587.7713425</v>
      </c>
      <c r="D19" s="15"/>
      <c r="E19" s="15"/>
      <c r="F19" s="15"/>
      <c r="G19" s="31"/>
      <c r="H19" s="18">
        <f t="shared" si="6"/>
        <v>14587.7713425</v>
      </c>
      <c r="I19" s="141"/>
      <c r="J19" s="130"/>
      <c r="K19" s="1"/>
      <c r="L19" s="1"/>
      <c r="M19" s="1"/>
    </row>
    <row r="20" spans="1:13" ht="20">
      <c r="A20" s="20"/>
      <c r="B20" s="20"/>
      <c r="C20" s="20"/>
      <c r="D20" s="20"/>
      <c r="E20" s="20"/>
      <c r="F20" s="20"/>
      <c r="G20" s="20"/>
      <c r="H20" s="48" t="s">
        <v>31</v>
      </c>
      <c r="I20" s="49">
        <f>SUM(I4:I19)</f>
        <v>708070.78162519424</v>
      </c>
      <c r="J20" s="50"/>
      <c r="K20" s="1"/>
      <c r="L20" s="1"/>
      <c r="M20" s="1"/>
    </row>
    <row r="21" spans="1:13" ht="20">
      <c r="A21" s="20"/>
      <c r="B21" s="20"/>
      <c r="C21" s="51"/>
      <c r="D21" s="51"/>
      <c r="E21" s="51"/>
      <c r="F21" s="51"/>
      <c r="G21" s="51"/>
      <c r="H21" s="52"/>
      <c r="I21" s="53"/>
      <c r="J21" s="1"/>
      <c r="K21" s="1"/>
      <c r="L21" s="1"/>
      <c r="M21" s="1"/>
    </row>
    <row r="22" spans="1:13" ht="19">
      <c r="A22" s="20"/>
      <c r="B22" s="20"/>
      <c r="C22" s="20"/>
      <c r="D22" s="20"/>
      <c r="E22" s="20"/>
      <c r="F22" s="20"/>
      <c r="G22" s="20"/>
      <c r="H22" s="54"/>
      <c r="J22" s="1"/>
      <c r="K22" s="1"/>
      <c r="L22" s="1"/>
      <c r="M22" s="1"/>
    </row>
    <row r="23" spans="1:13" ht="19">
      <c r="A23" s="20"/>
      <c r="B23" s="20"/>
      <c r="C23" s="20"/>
      <c r="D23" s="20"/>
      <c r="E23" s="20"/>
      <c r="F23" s="20"/>
      <c r="G23" s="20"/>
      <c r="H23" s="54"/>
      <c r="J23" s="1"/>
      <c r="K23" s="1"/>
      <c r="L23" s="1"/>
      <c r="M23" s="1"/>
    </row>
    <row r="24" spans="1:13" ht="19">
      <c r="A24" s="20"/>
      <c r="B24" s="20"/>
      <c r="C24" s="20"/>
      <c r="D24" s="20"/>
      <c r="E24" s="20"/>
      <c r="F24" s="20"/>
      <c r="G24" s="20"/>
      <c r="H24" s="54"/>
      <c r="J24" s="1"/>
      <c r="K24" s="1"/>
      <c r="L24" s="1"/>
      <c r="M24" s="1"/>
    </row>
    <row r="25" spans="1:13" ht="19">
      <c r="A25" s="20"/>
      <c r="B25" s="20"/>
      <c r="C25" s="20"/>
      <c r="D25" s="20"/>
      <c r="E25" s="20"/>
      <c r="F25" s="20"/>
      <c r="G25" s="20"/>
      <c r="H25" s="54"/>
      <c r="J25" s="1"/>
      <c r="K25" s="1"/>
      <c r="L25" s="1"/>
      <c r="M25" s="1"/>
    </row>
    <row r="26" spans="1:13" ht="19">
      <c r="A26" s="20"/>
      <c r="B26" s="20"/>
      <c r="C26" s="20"/>
      <c r="D26" s="20"/>
      <c r="E26" s="20"/>
      <c r="F26" s="20"/>
      <c r="G26" s="20"/>
      <c r="H26" s="54"/>
      <c r="J26" s="1"/>
      <c r="K26" s="1"/>
      <c r="L26" s="1"/>
      <c r="M26" s="1"/>
    </row>
    <row r="27" spans="1:13" ht="19">
      <c r="A27" s="20"/>
      <c r="B27" s="20"/>
      <c r="C27" s="20"/>
      <c r="D27" s="20"/>
      <c r="E27" s="20"/>
      <c r="F27" s="20"/>
      <c r="G27" s="20"/>
      <c r="H27" s="54"/>
      <c r="J27" s="1"/>
      <c r="K27" s="1"/>
      <c r="L27" s="1"/>
      <c r="M27" s="1"/>
    </row>
    <row r="28" spans="1:13" ht="19">
      <c r="A28" s="20"/>
      <c r="B28" s="20"/>
      <c r="C28" s="20"/>
      <c r="D28" s="20"/>
      <c r="E28" s="20"/>
      <c r="F28" s="20"/>
      <c r="G28" s="20"/>
      <c r="H28" s="54"/>
      <c r="J28" s="1"/>
      <c r="K28" s="1"/>
      <c r="L28" s="1"/>
      <c r="M28" s="1"/>
    </row>
    <row r="29" spans="1:13" ht="19">
      <c r="A29" s="20"/>
      <c r="B29" s="20"/>
      <c r="C29" s="20"/>
      <c r="D29" s="20"/>
      <c r="E29" s="20"/>
      <c r="F29" s="20"/>
      <c r="G29" s="20"/>
      <c r="H29" s="54"/>
      <c r="J29" s="1"/>
      <c r="K29" s="1"/>
      <c r="L29" s="1"/>
      <c r="M29" s="1"/>
    </row>
    <row r="30" spans="1:13" ht="19">
      <c r="A30" s="20"/>
      <c r="B30" s="20"/>
      <c r="C30" s="20"/>
      <c r="D30" s="20"/>
      <c r="E30" s="20"/>
      <c r="F30" s="20"/>
      <c r="G30" s="20"/>
      <c r="H30" s="54"/>
      <c r="J30" s="1"/>
      <c r="K30" s="1"/>
      <c r="L30" s="1"/>
      <c r="M30" s="1"/>
    </row>
    <row r="31" spans="1:13" ht="19">
      <c r="A31" s="20"/>
      <c r="B31" s="20"/>
      <c r="C31" s="20"/>
      <c r="D31" s="20"/>
      <c r="E31" s="20"/>
      <c r="F31" s="20"/>
      <c r="G31" s="20"/>
      <c r="H31" s="54"/>
      <c r="J31" s="1"/>
      <c r="K31" s="1"/>
      <c r="L31" s="1"/>
      <c r="M31" s="1"/>
    </row>
    <row r="32" spans="1:13" ht="19">
      <c r="A32" s="20"/>
      <c r="B32" s="20"/>
      <c r="C32" s="20"/>
      <c r="D32" s="20"/>
      <c r="E32" s="20"/>
      <c r="F32" s="20"/>
      <c r="G32" s="20"/>
      <c r="H32" s="54"/>
      <c r="J32" s="1"/>
      <c r="K32" s="1"/>
      <c r="L32" s="1"/>
      <c r="M32" s="1"/>
    </row>
    <row r="33" spans="1:13" ht="19">
      <c r="A33" s="20"/>
      <c r="B33" s="20"/>
      <c r="C33" s="20"/>
      <c r="D33" s="20"/>
      <c r="E33" s="20"/>
      <c r="F33" s="20"/>
      <c r="G33" s="20"/>
      <c r="H33" s="54"/>
      <c r="J33" s="1"/>
      <c r="K33" s="1"/>
      <c r="L33" s="1"/>
      <c r="M33" s="1"/>
    </row>
    <row r="34" spans="1:13" ht="19">
      <c r="A34" s="20"/>
      <c r="B34" s="20"/>
      <c r="C34" s="20"/>
      <c r="D34" s="20"/>
      <c r="E34" s="20"/>
      <c r="F34" s="20"/>
      <c r="G34" s="20"/>
      <c r="H34" s="54"/>
      <c r="J34" s="1"/>
      <c r="K34" s="1"/>
      <c r="L34" s="1"/>
      <c r="M34" s="1"/>
    </row>
    <row r="35" spans="1:13" ht="19">
      <c r="A35" s="20"/>
      <c r="B35" s="20"/>
      <c r="C35" s="20"/>
      <c r="D35" s="20"/>
      <c r="E35" s="20"/>
      <c r="F35" s="20"/>
      <c r="G35" s="20"/>
      <c r="H35" s="54"/>
      <c r="J35" s="1"/>
      <c r="K35" s="1"/>
      <c r="L35" s="1"/>
      <c r="M35" s="1"/>
    </row>
    <row r="36" spans="1:13" ht="19">
      <c r="A36" s="20"/>
      <c r="B36" s="20"/>
      <c r="C36" s="20"/>
      <c r="D36" s="20"/>
      <c r="E36" s="20"/>
      <c r="F36" s="20"/>
      <c r="G36" s="20"/>
      <c r="H36" s="54"/>
      <c r="J36" s="1"/>
      <c r="K36" s="1"/>
      <c r="L36" s="1"/>
      <c r="M36" s="1"/>
    </row>
    <row r="37" spans="1:13" ht="19">
      <c r="A37" s="20"/>
      <c r="B37" s="20"/>
      <c r="C37" s="20"/>
      <c r="D37" s="20"/>
      <c r="E37" s="20"/>
      <c r="F37" s="20"/>
      <c r="G37" s="20"/>
      <c r="H37" s="54"/>
      <c r="I37" s="1"/>
      <c r="J37" s="1"/>
      <c r="K37" s="1"/>
      <c r="L37" s="1"/>
      <c r="M37" s="1"/>
    </row>
    <row r="38" spans="1:13" ht="19">
      <c r="A38" s="20"/>
      <c r="B38" s="20"/>
      <c r="C38" s="20"/>
      <c r="D38" s="20"/>
      <c r="E38" s="20"/>
      <c r="F38" s="20"/>
      <c r="G38" s="20"/>
      <c r="H38" s="54"/>
      <c r="I38" s="1"/>
      <c r="J38" s="1"/>
      <c r="K38" s="1"/>
      <c r="L38" s="1"/>
      <c r="M38" s="1"/>
    </row>
    <row r="39" spans="1:13" ht="19">
      <c r="A39" s="20"/>
      <c r="B39" s="20"/>
      <c r="C39" s="20"/>
      <c r="D39" s="20"/>
      <c r="E39" s="20"/>
      <c r="F39" s="20"/>
      <c r="G39" s="20"/>
      <c r="H39" s="54"/>
      <c r="I39" s="1"/>
      <c r="J39" s="1"/>
      <c r="K39" s="1"/>
      <c r="L39" s="1"/>
      <c r="M39" s="1"/>
    </row>
    <row r="40" spans="1:13" ht="19">
      <c r="A40" s="20"/>
      <c r="B40" s="20"/>
      <c r="C40" s="20"/>
      <c r="D40" s="20"/>
      <c r="E40" s="20"/>
      <c r="F40" s="20"/>
      <c r="G40" s="20"/>
      <c r="H40" s="54"/>
      <c r="I40" s="1"/>
      <c r="J40" s="1"/>
      <c r="K40" s="1"/>
      <c r="L40" s="1"/>
      <c r="M40" s="1"/>
    </row>
    <row r="41" spans="1:13" ht="19">
      <c r="A41" s="20"/>
      <c r="B41" s="20"/>
      <c r="C41" s="20"/>
      <c r="D41" s="20"/>
      <c r="E41" s="20"/>
      <c r="F41" s="20"/>
      <c r="G41" s="20"/>
      <c r="H41" s="54"/>
      <c r="I41" s="1"/>
      <c r="J41" s="1"/>
      <c r="K41" s="1"/>
      <c r="L41" s="1"/>
      <c r="M41" s="1"/>
    </row>
    <row r="42" spans="1:13" ht="19">
      <c r="A42" s="20"/>
      <c r="B42" s="20"/>
      <c r="C42" s="20"/>
      <c r="D42" s="20"/>
      <c r="E42" s="20"/>
      <c r="F42" s="20"/>
      <c r="G42" s="20"/>
      <c r="H42" s="54"/>
      <c r="I42" s="1"/>
      <c r="J42" s="1"/>
      <c r="K42" s="1"/>
      <c r="L42" s="1"/>
      <c r="M42" s="1"/>
    </row>
    <row r="43" spans="1:13" ht="19">
      <c r="A43" s="20"/>
      <c r="B43" s="20"/>
      <c r="C43" s="20"/>
      <c r="D43" s="20"/>
      <c r="E43" s="20"/>
      <c r="F43" s="20"/>
      <c r="G43" s="20"/>
      <c r="H43" s="54"/>
      <c r="I43" s="1"/>
      <c r="J43" s="1"/>
      <c r="K43" s="1"/>
      <c r="L43" s="1"/>
      <c r="M43" s="1"/>
    </row>
    <row r="44" spans="1:13" ht="19">
      <c r="A44" s="20"/>
      <c r="B44" s="20"/>
      <c r="C44" s="20"/>
      <c r="D44" s="20"/>
      <c r="E44" s="20"/>
      <c r="F44" s="20"/>
      <c r="G44" s="20"/>
      <c r="H44" s="54"/>
      <c r="I44" s="1"/>
      <c r="J44" s="1"/>
      <c r="K44" s="1"/>
      <c r="L44" s="1"/>
      <c r="M44" s="1"/>
    </row>
    <row r="45" spans="1:13" ht="19">
      <c r="A45" s="20"/>
      <c r="B45" s="20"/>
      <c r="C45" s="20"/>
      <c r="D45" s="20"/>
      <c r="E45" s="20"/>
      <c r="F45" s="20"/>
      <c r="G45" s="20"/>
      <c r="H45" s="54"/>
      <c r="I45" s="1"/>
      <c r="J45" s="1"/>
      <c r="K45" s="1"/>
      <c r="L45" s="1"/>
      <c r="M45" s="1"/>
    </row>
    <row r="46" spans="1:13" ht="19">
      <c r="A46" s="20"/>
      <c r="B46" s="20"/>
      <c r="C46" s="20"/>
      <c r="D46" s="20"/>
      <c r="E46" s="20"/>
      <c r="F46" s="20"/>
      <c r="G46" s="20"/>
      <c r="H46" s="54"/>
      <c r="I46" s="1"/>
      <c r="J46" s="1"/>
      <c r="K46" s="1"/>
      <c r="L46" s="1"/>
      <c r="M46" s="1"/>
    </row>
    <row r="47" spans="1:13" ht="19">
      <c r="A47" s="20"/>
      <c r="B47" s="20"/>
      <c r="C47" s="20"/>
      <c r="D47" s="20"/>
      <c r="E47" s="20"/>
      <c r="F47" s="20"/>
      <c r="G47" s="20"/>
      <c r="H47" s="54"/>
      <c r="I47" s="1"/>
      <c r="J47" s="1"/>
      <c r="K47" s="1"/>
      <c r="L47" s="1"/>
      <c r="M47" s="1"/>
    </row>
    <row r="48" spans="1:13" ht="19">
      <c r="A48" s="20"/>
      <c r="B48" s="20"/>
      <c r="C48" s="20"/>
      <c r="D48" s="20"/>
      <c r="E48" s="20"/>
      <c r="F48" s="20"/>
      <c r="G48" s="20"/>
      <c r="H48" s="54"/>
      <c r="I48" s="1"/>
      <c r="J48" s="1"/>
      <c r="K48" s="1"/>
      <c r="L48" s="1"/>
      <c r="M48" s="1"/>
    </row>
    <row r="49" spans="1:13" ht="19">
      <c r="A49" s="20"/>
      <c r="B49" s="20"/>
      <c r="C49" s="20"/>
      <c r="D49" s="20"/>
      <c r="E49" s="20"/>
      <c r="F49" s="20"/>
      <c r="G49" s="20"/>
      <c r="H49" s="54"/>
      <c r="I49" s="1"/>
      <c r="J49" s="1"/>
      <c r="K49" s="1"/>
      <c r="L49" s="1"/>
      <c r="M49" s="1"/>
    </row>
    <row r="50" spans="1:13" ht="19">
      <c r="A50" s="20"/>
      <c r="B50" s="20"/>
      <c r="C50" s="20"/>
      <c r="D50" s="20"/>
      <c r="E50" s="20"/>
      <c r="F50" s="20"/>
      <c r="G50" s="20"/>
      <c r="H50" s="54"/>
      <c r="I50" s="1"/>
      <c r="J50" s="1"/>
      <c r="K50" s="1"/>
      <c r="L50" s="1"/>
      <c r="M50" s="1"/>
    </row>
    <row r="51" spans="1:13" ht="19">
      <c r="A51" s="20"/>
      <c r="B51" s="20"/>
      <c r="C51" s="20"/>
      <c r="D51" s="20"/>
      <c r="E51" s="20"/>
      <c r="F51" s="20"/>
      <c r="G51" s="20"/>
      <c r="H51" s="54"/>
      <c r="I51" s="1"/>
      <c r="J51" s="1"/>
      <c r="K51" s="1"/>
      <c r="L51" s="1"/>
      <c r="M51" s="1"/>
    </row>
    <row r="52" spans="1:13" ht="19">
      <c r="A52" s="20"/>
      <c r="B52" s="20"/>
      <c r="C52" s="20"/>
      <c r="D52" s="20"/>
      <c r="E52" s="20"/>
      <c r="F52" s="20"/>
      <c r="G52" s="20"/>
      <c r="H52" s="54"/>
      <c r="I52" s="1"/>
      <c r="J52" s="1"/>
      <c r="K52" s="1"/>
      <c r="L52" s="1"/>
      <c r="M52" s="1"/>
    </row>
    <row r="53" spans="1:13" ht="19">
      <c r="A53" s="20"/>
      <c r="B53" s="20"/>
      <c r="C53" s="20"/>
      <c r="D53" s="20"/>
      <c r="E53" s="20"/>
      <c r="F53" s="20"/>
      <c r="G53" s="20"/>
      <c r="H53" s="54"/>
      <c r="I53" s="55"/>
      <c r="J53" s="1"/>
      <c r="K53" s="1"/>
      <c r="L53" s="1"/>
      <c r="M53" s="1"/>
    </row>
    <row r="54" spans="1:13" ht="19">
      <c r="A54" s="20"/>
      <c r="B54" s="20"/>
      <c r="C54" s="20"/>
      <c r="D54" s="20"/>
      <c r="E54" s="20"/>
      <c r="F54" s="20"/>
      <c r="G54" s="20"/>
      <c r="H54" s="54"/>
      <c r="I54" s="1"/>
      <c r="J54" s="1"/>
      <c r="K54" s="1"/>
      <c r="L54" s="1"/>
      <c r="M54" s="1"/>
    </row>
    <row r="55" spans="1:13" ht="19">
      <c r="A55" s="20"/>
      <c r="B55" s="20"/>
      <c r="C55" s="20"/>
      <c r="D55" s="20"/>
      <c r="E55" s="20"/>
      <c r="F55" s="20"/>
      <c r="G55" s="20"/>
      <c r="H55" s="54"/>
      <c r="I55" s="1"/>
      <c r="J55" s="1"/>
      <c r="K55" s="1"/>
      <c r="L55" s="1"/>
      <c r="M55" s="1"/>
    </row>
    <row r="56" spans="1:13" ht="19">
      <c r="A56" s="20"/>
      <c r="B56" s="20"/>
      <c r="C56" s="20"/>
      <c r="D56" s="20"/>
      <c r="E56" s="20"/>
      <c r="F56" s="20"/>
      <c r="G56" s="20"/>
      <c r="H56" s="54"/>
      <c r="I56" s="1"/>
      <c r="J56" s="1"/>
      <c r="K56" s="1"/>
      <c r="L56" s="1"/>
      <c r="M56" s="1"/>
    </row>
    <row r="57" spans="1:13" ht="19">
      <c r="A57" s="20"/>
      <c r="B57" s="20"/>
      <c r="C57" s="20"/>
      <c r="D57" s="20"/>
      <c r="E57" s="20"/>
      <c r="F57" s="20"/>
      <c r="G57" s="20"/>
      <c r="H57" s="54"/>
      <c r="I57" s="1"/>
      <c r="J57" s="1"/>
      <c r="K57" s="1"/>
      <c r="L57" s="1"/>
      <c r="M57" s="1"/>
    </row>
    <row r="58" spans="1:13" ht="19">
      <c r="A58" s="20"/>
      <c r="B58" s="20"/>
      <c r="C58" s="20"/>
      <c r="D58" s="20"/>
      <c r="E58" s="20"/>
      <c r="F58" s="20"/>
      <c r="G58" s="20"/>
      <c r="H58" s="54"/>
      <c r="I58" s="1"/>
      <c r="J58" s="1"/>
      <c r="K58" s="1"/>
      <c r="L58" s="1"/>
      <c r="M58" s="1"/>
    </row>
    <row r="59" spans="1:13" ht="19">
      <c r="A59" s="20"/>
      <c r="B59" s="20"/>
      <c r="C59" s="20"/>
      <c r="D59" s="20"/>
      <c r="E59" s="20"/>
      <c r="F59" s="20"/>
      <c r="G59" s="20"/>
      <c r="H59" s="54"/>
      <c r="I59" s="1"/>
      <c r="J59" s="1"/>
      <c r="K59" s="1"/>
      <c r="L59" s="1"/>
      <c r="M59" s="1"/>
    </row>
    <row r="60" spans="1:13" ht="19">
      <c r="A60" s="20"/>
      <c r="B60" s="20"/>
      <c r="C60" s="20"/>
      <c r="D60" s="20"/>
      <c r="E60" s="20"/>
      <c r="F60" s="20"/>
      <c r="G60" s="20"/>
      <c r="H60" s="54"/>
      <c r="I60" s="1"/>
      <c r="J60" s="1"/>
      <c r="K60" s="1"/>
      <c r="L60" s="1"/>
      <c r="M60" s="1"/>
    </row>
    <row r="61" spans="1:13" ht="19">
      <c r="A61" s="20"/>
      <c r="B61" s="20"/>
      <c r="C61" s="20"/>
      <c r="D61" s="20"/>
      <c r="E61" s="20"/>
      <c r="F61" s="20"/>
      <c r="G61" s="20"/>
      <c r="H61" s="54"/>
      <c r="I61" s="1"/>
      <c r="J61" s="1"/>
      <c r="K61" s="1"/>
      <c r="L61" s="1"/>
      <c r="M61" s="1"/>
    </row>
    <row r="62" spans="1:13" ht="19">
      <c r="A62" s="20"/>
      <c r="B62" s="20"/>
      <c r="C62" s="20"/>
      <c r="D62" s="20"/>
      <c r="E62" s="20"/>
      <c r="F62" s="20"/>
      <c r="G62" s="20"/>
      <c r="H62" s="54"/>
      <c r="I62" s="1"/>
      <c r="J62" s="1"/>
      <c r="K62" s="1"/>
      <c r="L62" s="1"/>
      <c r="M62" s="1"/>
    </row>
    <row r="63" spans="1:13" ht="19">
      <c r="A63" s="20"/>
      <c r="B63" s="20"/>
      <c r="C63" s="20"/>
      <c r="D63" s="20"/>
      <c r="E63" s="20"/>
      <c r="F63" s="20"/>
      <c r="G63" s="20"/>
      <c r="H63" s="54"/>
      <c r="I63" s="1"/>
      <c r="J63" s="1"/>
      <c r="K63" s="1"/>
      <c r="L63" s="1"/>
      <c r="M63" s="1"/>
    </row>
    <row r="64" spans="1:13" ht="19">
      <c r="A64" s="20"/>
      <c r="B64" s="20"/>
      <c r="C64" s="20"/>
      <c r="D64" s="20"/>
      <c r="E64" s="20"/>
      <c r="F64" s="20"/>
      <c r="G64" s="20"/>
      <c r="H64" s="54"/>
      <c r="I64" s="1"/>
      <c r="J64" s="1"/>
      <c r="K64" s="1"/>
      <c r="L64" s="1"/>
      <c r="M64" s="1"/>
    </row>
    <row r="65" spans="1:13" ht="19">
      <c r="A65" s="20"/>
      <c r="B65" s="20"/>
      <c r="C65" s="20"/>
      <c r="D65" s="20"/>
      <c r="E65" s="20"/>
      <c r="F65" s="20"/>
      <c r="G65" s="20"/>
      <c r="H65" s="54"/>
      <c r="I65" s="1"/>
      <c r="J65" s="1"/>
      <c r="K65" s="1"/>
      <c r="L65" s="1"/>
      <c r="M65" s="1"/>
    </row>
    <row r="66" spans="1:13" ht="19">
      <c r="A66" s="20"/>
      <c r="B66" s="20"/>
      <c r="C66" s="20"/>
      <c r="D66" s="20"/>
      <c r="E66" s="20"/>
      <c r="F66" s="20"/>
      <c r="G66" s="20"/>
      <c r="H66" s="54"/>
      <c r="I66" s="1"/>
      <c r="J66" s="1"/>
      <c r="K66" s="1"/>
      <c r="L66" s="1"/>
      <c r="M66" s="1"/>
    </row>
    <row r="67" spans="1:13" ht="19">
      <c r="A67" s="20"/>
      <c r="B67" s="20"/>
      <c r="C67" s="20"/>
      <c r="D67" s="20"/>
      <c r="E67" s="20"/>
      <c r="F67" s="20"/>
      <c r="G67" s="20"/>
      <c r="H67" s="54"/>
      <c r="I67" s="1"/>
      <c r="J67" s="1"/>
      <c r="K67" s="1"/>
      <c r="L67" s="1"/>
      <c r="M67" s="1"/>
    </row>
    <row r="68" spans="1:13" ht="19">
      <c r="A68" s="20"/>
      <c r="B68" s="20"/>
      <c r="C68" s="20"/>
      <c r="D68" s="20"/>
      <c r="E68" s="20"/>
      <c r="F68" s="20"/>
      <c r="G68" s="20"/>
      <c r="H68" s="54"/>
      <c r="I68" s="1"/>
      <c r="J68" s="1"/>
      <c r="K68" s="1"/>
      <c r="L68" s="1"/>
      <c r="M68" s="1"/>
    </row>
    <row r="69" spans="1:13" ht="19">
      <c r="A69" s="20"/>
      <c r="B69" s="20"/>
      <c r="C69" s="20"/>
      <c r="D69" s="20"/>
      <c r="E69" s="20"/>
      <c r="F69" s="20"/>
      <c r="G69" s="20"/>
      <c r="H69" s="54"/>
      <c r="I69" s="1"/>
      <c r="J69" s="1"/>
      <c r="K69" s="1"/>
      <c r="L69" s="1"/>
      <c r="M69" s="1"/>
    </row>
    <row r="70" spans="1:13" ht="19">
      <c r="A70" s="20"/>
      <c r="B70" s="20"/>
      <c r="C70" s="20"/>
      <c r="D70" s="20"/>
      <c r="E70" s="20"/>
      <c r="F70" s="20"/>
      <c r="G70" s="20"/>
      <c r="H70" s="54"/>
      <c r="I70" s="1"/>
      <c r="J70" s="1"/>
      <c r="K70" s="1"/>
      <c r="L70" s="1"/>
      <c r="M70" s="1"/>
    </row>
    <row r="71" spans="1:13" ht="19">
      <c r="A71" s="20"/>
      <c r="B71" s="20"/>
      <c r="C71" s="20"/>
      <c r="D71" s="20"/>
      <c r="E71" s="20"/>
      <c r="F71" s="20"/>
      <c r="G71" s="20"/>
      <c r="H71" s="54"/>
      <c r="I71" s="1"/>
      <c r="J71" s="1"/>
      <c r="K71" s="1"/>
      <c r="L71" s="1"/>
      <c r="M71" s="1"/>
    </row>
    <row r="72" spans="1:13" ht="19">
      <c r="A72" s="20"/>
      <c r="B72" s="20"/>
      <c r="C72" s="20"/>
      <c r="D72" s="20"/>
      <c r="E72" s="20"/>
      <c r="F72" s="20"/>
      <c r="G72" s="20"/>
      <c r="H72" s="54"/>
      <c r="I72" s="1"/>
      <c r="J72" s="1"/>
      <c r="K72" s="1"/>
      <c r="L72" s="1"/>
      <c r="M72" s="1"/>
    </row>
    <row r="73" spans="1:13" ht="19">
      <c r="A73" s="20"/>
      <c r="B73" s="20"/>
      <c r="C73" s="20"/>
      <c r="D73" s="20"/>
      <c r="E73" s="20"/>
      <c r="F73" s="20"/>
      <c r="G73" s="20"/>
      <c r="H73" s="54"/>
      <c r="I73" s="1"/>
      <c r="J73" s="1"/>
      <c r="K73" s="1"/>
      <c r="L73" s="1"/>
      <c r="M73" s="1"/>
    </row>
    <row r="74" spans="1:13" ht="19">
      <c r="A74" s="20"/>
      <c r="B74" s="20"/>
      <c r="C74" s="20"/>
      <c r="D74" s="20"/>
      <c r="E74" s="20"/>
      <c r="F74" s="20"/>
      <c r="G74" s="20"/>
      <c r="H74" s="54"/>
      <c r="I74" s="1"/>
      <c r="J74" s="1"/>
      <c r="K74" s="1"/>
      <c r="L74" s="1"/>
      <c r="M74" s="1"/>
    </row>
    <row r="75" spans="1:13" ht="19">
      <c r="A75" s="20"/>
      <c r="B75" s="20"/>
      <c r="C75" s="20"/>
      <c r="D75" s="20"/>
      <c r="E75" s="20"/>
      <c r="F75" s="20"/>
      <c r="G75" s="20"/>
      <c r="H75" s="54"/>
      <c r="I75" s="1"/>
      <c r="J75" s="1"/>
      <c r="K75" s="1"/>
      <c r="L75" s="1"/>
      <c r="M75" s="1"/>
    </row>
    <row r="76" spans="1:13" ht="19">
      <c r="A76" s="20"/>
      <c r="B76" s="20"/>
      <c r="C76" s="20"/>
      <c r="D76" s="20"/>
      <c r="E76" s="20"/>
      <c r="F76" s="20"/>
      <c r="G76" s="20"/>
      <c r="H76" s="54"/>
      <c r="I76" s="1"/>
      <c r="J76" s="1"/>
      <c r="K76" s="1"/>
      <c r="L76" s="1"/>
      <c r="M76" s="1"/>
    </row>
    <row r="77" spans="1:13" ht="19">
      <c r="A77" s="20"/>
      <c r="B77" s="20"/>
      <c r="C77" s="20"/>
      <c r="D77" s="20"/>
      <c r="E77" s="20"/>
      <c r="F77" s="20"/>
      <c r="G77" s="20"/>
      <c r="H77" s="54"/>
      <c r="I77" s="1"/>
      <c r="J77" s="1"/>
      <c r="K77" s="1"/>
      <c r="L77" s="1"/>
      <c r="M77" s="1"/>
    </row>
    <row r="78" spans="1:13" ht="19">
      <c r="A78" s="20"/>
      <c r="B78" s="20"/>
      <c r="C78" s="20"/>
      <c r="D78" s="20"/>
      <c r="E78" s="20"/>
      <c r="F78" s="20"/>
      <c r="G78" s="20"/>
      <c r="H78" s="54"/>
      <c r="I78" s="1"/>
      <c r="J78" s="1"/>
      <c r="K78" s="1"/>
      <c r="L78" s="1"/>
      <c r="M78" s="1"/>
    </row>
    <row r="79" spans="1:13" ht="19">
      <c r="A79" s="20"/>
      <c r="B79" s="20"/>
      <c r="C79" s="20"/>
      <c r="D79" s="20"/>
      <c r="E79" s="20"/>
      <c r="F79" s="20"/>
      <c r="G79" s="20"/>
      <c r="H79" s="54"/>
      <c r="I79" s="1"/>
      <c r="J79" s="1"/>
      <c r="K79" s="1"/>
      <c r="L79" s="1"/>
      <c r="M79" s="1"/>
    </row>
    <row r="80" spans="1:13" ht="19">
      <c r="A80" s="20"/>
      <c r="B80" s="20"/>
      <c r="C80" s="20"/>
      <c r="D80" s="20"/>
      <c r="E80" s="20"/>
      <c r="F80" s="20"/>
      <c r="G80" s="20"/>
      <c r="H80" s="54"/>
      <c r="I80" s="1"/>
      <c r="J80" s="1"/>
      <c r="K80" s="1"/>
      <c r="L80" s="1"/>
      <c r="M80" s="1"/>
    </row>
    <row r="81" spans="1:13" ht="19">
      <c r="A81" s="20"/>
      <c r="B81" s="20"/>
      <c r="C81" s="20"/>
      <c r="D81" s="20"/>
      <c r="E81" s="20"/>
      <c r="F81" s="20"/>
      <c r="G81" s="20"/>
      <c r="H81" s="54"/>
      <c r="I81" s="1"/>
      <c r="J81" s="1"/>
      <c r="K81" s="1"/>
      <c r="L81" s="1"/>
      <c r="M81" s="1"/>
    </row>
    <row r="82" spans="1:13" ht="19">
      <c r="A82" s="20"/>
      <c r="B82" s="20"/>
      <c r="C82" s="20"/>
      <c r="D82" s="20"/>
      <c r="E82" s="20"/>
      <c r="F82" s="20"/>
      <c r="G82" s="20"/>
      <c r="H82" s="1"/>
      <c r="I82" s="1"/>
      <c r="J82" s="1"/>
      <c r="K82" s="1"/>
      <c r="L82" s="1"/>
      <c r="M82" s="1"/>
    </row>
    <row r="83" spans="1:13" ht="19">
      <c r="A83" s="20"/>
      <c r="B83" s="20"/>
      <c r="C83" s="20"/>
      <c r="D83" s="20"/>
      <c r="E83" s="20"/>
      <c r="F83" s="20"/>
      <c r="G83" s="20"/>
      <c r="H83" s="1"/>
      <c r="I83" s="1"/>
      <c r="J83" s="1"/>
      <c r="K83" s="1"/>
      <c r="L83" s="1"/>
      <c r="M83" s="1"/>
    </row>
    <row r="84" spans="1:13" ht="19">
      <c r="A84" s="20"/>
      <c r="B84" s="20"/>
      <c r="C84" s="20"/>
      <c r="D84" s="20"/>
      <c r="E84" s="20"/>
      <c r="F84" s="20"/>
      <c r="G84" s="20"/>
      <c r="H84" s="1"/>
      <c r="I84" s="1"/>
      <c r="J84" s="1"/>
      <c r="K84" s="1"/>
      <c r="L84" s="1"/>
      <c r="M84" s="1"/>
    </row>
    <row r="85" spans="1:13" ht="19">
      <c r="A85" s="20"/>
      <c r="B85" s="20"/>
      <c r="C85" s="20"/>
      <c r="D85" s="20"/>
      <c r="E85" s="20"/>
      <c r="F85" s="20"/>
      <c r="G85" s="20"/>
      <c r="H85" s="1"/>
      <c r="I85" s="1"/>
      <c r="J85" s="1"/>
      <c r="K85" s="1"/>
      <c r="L85" s="1"/>
      <c r="M85" s="1"/>
    </row>
    <row r="86" spans="1:13" ht="19">
      <c r="A86" s="20"/>
      <c r="B86" s="20"/>
      <c r="C86" s="20"/>
      <c r="D86" s="20"/>
      <c r="E86" s="20"/>
      <c r="F86" s="20"/>
      <c r="G86" s="20"/>
      <c r="H86" s="1"/>
      <c r="I86" s="1"/>
      <c r="J86" s="1"/>
      <c r="K86" s="1"/>
      <c r="L86" s="1"/>
      <c r="M86" s="1"/>
    </row>
    <row r="87" spans="1:13" ht="19">
      <c r="A87" s="20"/>
      <c r="B87" s="20"/>
      <c r="C87" s="20"/>
      <c r="D87" s="20"/>
      <c r="E87" s="20"/>
      <c r="F87" s="20"/>
      <c r="G87" s="20"/>
      <c r="H87" s="1"/>
      <c r="I87" s="1"/>
      <c r="J87" s="1"/>
      <c r="K87" s="1"/>
      <c r="L87" s="1"/>
      <c r="M87" s="1"/>
    </row>
    <row r="88" spans="1:13" ht="19">
      <c r="A88" s="20"/>
      <c r="B88" s="20"/>
      <c r="C88" s="20"/>
      <c r="D88" s="20"/>
      <c r="E88" s="20"/>
      <c r="F88" s="20"/>
      <c r="G88" s="20"/>
      <c r="H88" s="1"/>
      <c r="I88" s="1"/>
      <c r="J88" s="1"/>
      <c r="K88" s="1"/>
      <c r="L88" s="1"/>
      <c r="M88" s="1"/>
    </row>
    <row r="89" spans="1:13" ht="19">
      <c r="A89" s="20"/>
      <c r="B89" s="20"/>
      <c r="C89" s="20"/>
      <c r="D89" s="20"/>
      <c r="E89" s="20"/>
      <c r="F89" s="20"/>
      <c r="G89" s="20"/>
      <c r="H89" s="1"/>
      <c r="I89" s="1"/>
      <c r="J89" s="1"/>
      <c r="K89" s="1"/>
      <c r="L89" s="1"/>
      <c r="M89" s="1"/>
    </row>
  </sheetData>
  <mergeCells count="17">
    <mergeCell ref="A7:A9"/>
    <mergeCell ref="A11:A14"/>
    <mergeCell ref="A18:A19"/>
    <mergeCell ref="I7:I9"/>
    <mergeCell ref="I4:I5"/>
    <mergeCell ref="J7:J9"/>
    <mergeCell ref="I11:I14"/>
    <mergeCell ref="J11:J14"/>
    <mergeCell ref="I18:I19"/>
    <mergeCell ref="J18:J19"/>
    <mergeCell ref="J4:J5"/>
    <mergeCell ref="A1:J1"/>
    <mergeCell ref="A2:A3"/>
    <mergeCell ref="B2:B3"/>
    <mergeCell ref="C2:G2"/>
    <mergeCell ref="H2:J2"/>
    <mergeCell ref="A4:A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R24"/>
  <sheetViews>
    <sheetView workbookViewId="0">
      <selection sqref="A1:L1"/>
    </sheetView>
  </sheetViews>
  <sheetFormatPr baseColWidth="10" defaultColWidth="12.6640625" defaultRowHeight="13"/>
  <cols>
    <col min="1" max="1" width="21.33203125" customWidth="1"/>
    <col min="2" max="2" width="22.1640625" customWidth="1"/>
    <col min="3" max="3" width="14.83203125" customWidth="1"/>
    <col min="4" max="4" width="42.6640625" customWidth="1"/>
    <col min="5" max="6" width="31" customWidth="1"/>
    <col min="7" max="7" width="24.33203125" customWidth="1"/>
    <col min="8" max="12" width="24.6640625" customWidth="1"/>
  </cols>
  <sheetData>
    <row r="1" spans="1:18" ht="27" customHeight="1">
      <c r="A1" s="151" t="s">
        <v>32</v>
      </c>
      <c r="B1" s="152"/>
      <c r="C1" s="152"/>
      <c r="D1" s="152"/>
      <c r="E1" s="152"/>
      <c r="F1" s="152"/>
      <c r="G1" s="152"/>
      <c r="H1" s="152"/>
      <c r="I1" s="152"/>
      <c r="J1" s="152"/>
      <c r="K1" s="152"/>
      <c r="L1" s="153"/>
      <c r="M1" s="54"/>
      <c r="N1" s="1"/>
      <c r="O1" s="1"/>
      <c r="P1" s="1"/>
      <c r="Q1" s="1"/>
      <c r="R1" s="1"/>
    </row>
    <row r="2" spans="1:18" ht="60">
      <c r="A2" s="56" t="s">
        <v>33</v>
      </c>
      <c r="B2" s="57" t="s">
        <v>34</v>
      </c>
      <c r="C2" s="57" t="s">
        <v>35</v>
      </c>
      <c r="D2" s="57" t="s">
        <v>36</v>
      </c>
      <c r="E2" s="57" t="s">
        <v>37</v>
      </c>
      <c r="F2" s="57" t="s">
        <v>38</v>
      </c>
      <c r="G2" s="57" t="s">
        <v>39</v>
      </c>
      <c r="H2" s="57" t="s">
        <v>40</v>
      </c>
      <c r="I2" s="57" t="s">
        <v>41</v>
      </c>
      <c r="J2" s="57" t="s">
        <v>42</v>
      </c>
      <c r="K2" s="58" t="s">
        <v>43</v>
      </c>
      <c r="L2" s="58" t="s">
        <v>44</v>
      </c>
      <c r="M2" s="54"/>
      <c r="O2" s="1"/>
      <c r="P2" s="1"/>
      <c r="Q2" s="1"/>
      <c r="R2" s="1"/>
    </row>
    <row r="3" spans="1:18" ht="26">
      <c r="A3" s="154" t="s">
        <v>30</v>
      </c>
      <c r="B3" s="157" t="s">
        <v>23</v>
      </c>
      <c r="C3" s="149" t="s">
        <v>45</v>
      </c>
      <c r="D3" s="60" t="s">
        <v>46</v>
      </c>
      <c r="E3" s="61" t="s">
        <v>47</v>
      </c>
      <c r="F3" s="62">
        <v>3200</v>
      </c>
      <c r="G3" s="62" t="s">
        <v>48</v>
      </c>
      <c r="H3" s="62" t="s">
        <v>49</v>
      </c>
      <c r="I3" s="62">
        <v>82.8</v>
      </c>
      <c r="J3" s="62" t="s">
        <v>50</v>
      </c>
      <c r="K3" s="63">
        <f t="shared" ref="K3:K13" si="0">SUM(F3*I3)</f>
        <v>264960</v>
      </c>
      <c r="L3" s="161">
        <f>SUM(K3:K6)</f>
        <v>266392.41407999996</v>
      </c>
      <c r="M3" s="54"/>
      <c r="O3" s="1"/>
      <c r="P3" s="1"/>
      <c r="Q3" s="1"/>
      <c r="R3" s="1"/>
    </row>
    <row r="4" spans="1:18" ht="26">
      <c r="A4" s="155"/>
      <c r="B4" s="158"/>
      <c r="C4" s="140"/>
      <c r="D4" s="60" t="s">
        <v>51</v>
      </c>
      <c r="E4" s="61" t="s">
        <v>52</v>
      </c>
      <c r="F4" s="61">
        <v>3.8399999999999997E-2</v>
      </c>
      <c r="G4" s="61" t="s">
        <v>53</v>
      </c>
      <c r="H4" s="64" t="s">
        <v>54</v>
      </c>
      <c r="I4" s="61">
        <v>5647.95</v>
      </c>
      <c r="J4" s="61" t="s">
        <v>55</v>
      </c>
      <c r="K4" s="65">
        <f t="shared" si="0"/>
        <v>216.88127999999998</v>
      </c>
      <c r="L4" s="162"/>
      <c r="M4" s="54"/>
      <c r="O4" s="1"/>
      <c r="P4" s="1"/>
      <c r="Q4" s="1"/>
      <c r="R4" s="1"/>
    </row>
    <row r="5" spans="1:18" ht="26">
      <c r="A5" s="155"/>
      <c r="B5" s="158"/>
      <c r="C5" s="140"/>
      <c r="D5" s="60" t="s">
        <v>56</v>
      </c>
      <c r="E5" s="61" t="s">
        <v>52</v>
      </c>
      <c r="F5" s="61">
        <v>0.48</v>
      </c>
      <c r="G5" s="61" t="s">
        <v>53</v>
      </c>
      <c r="H5" s="64" t="s">
        <v>57</v>
      </c>
      <c r="I5" s="66">
        <v>1402.77</v>
      </c>
      <c r="J5" s="61" t="s">
        <v>58</v>
      </c>
      <c r="K5" s="65">
        <f t="shared" si="0"/>
        <v>673.32959999999991</v>
      </c>
      <c r="L5" s="162"/>
      <c r="M5" s="54"/>
      <c r="O5" s="1"/>
      <c r="P5" s="1"/>
      <c r="Q5" s="1"/>
      <c r="R5" s="1"/>
    </row>
    <row r="6" spans="1:18" ht="39">
      <c r="A6" s="155"/>
      <c r="B6" s="159"/>
      <c r="C6" s="160"/>
      <c r="D6" s="60" t="s">
        <v>59</v>
      </c>
      <c r="E6" s="61" t="s">
        <v>52</v>
      </c>
      <c r="F6" s="61">
        <v>9.6000000000000002E-2</v>
      </c>
      <c r="G6" s="61" t="s">
        <v>53</v>
      </c>
      <c r="H6" s="64" t="s">
        <v>60</v>
      </c>
      <c r="I6" s="61">
        <v>5647.95</v>
      </c>
      <c r="J6" s="61" t="s">
        <v>55</v>
      </c>
      <c r="K6" s="65">
        <f t="shared" si="0"/>
        <v>542.20320000000004</v>
      </c>
      <c r="L6" s="162"/>
      <c r="M6" s="54"/>
      <c r="O6" s="1"/>
      <c r="P6" s="1"/>
      <c r="Q6" s="1"/>
      <c r="R6" s="1"/>
    </row>
    <row r="7" spans="1:18" ht="26">
      <c r="A7" s="155"/>
      <c r="B7" s="157" t="s">
        <v>26</v>
      </c>
      <c r="C7" s="149" t="s">
        <v>45</v>
      </c>
      <c r="D7" s="59" t="s">
        <v>46</v>
      </c>
      <c r="E7" s="62" t="s">
        <v>47</v>
      </c>
      <c r="F7" s="62">
        <v>87</v>
      </c>
      <c r="G7" s="62" t="s">
        <v>48</v>
      </c>
      <c r="H7" s="62" t="s">
        <v>61</v>
      </c>
      <c r="I7" s="62">
        <v>82.8</v>
      </c>
      <c r="J7" s="62" t="s">
        <v>50</v>
      </c>
      <c r="K7" s="67">
        <f t="shared" si="0"/>
        <v>7203.5999999999995</v>
      </c>
      <c r="L7" s="163">
        <f>SUM(K7:K13)</f>
        <v>14587.7713425</v>
      </c>
      <c r="M7" s="54"/>
      <c r="N7" s="1"/>
      <c r="O7" s="1"/>
      <c r="P7" s="1"/>
      <c r="Q7" s="1"/>
      <c r="R7" s="1"/>
    </row>
    <row r="8" spans="1:18" ht="39">
      <c r="A8" s="155"/>
      <c r="B8" s="158"/>
      <c r="C8" s="140"/>
      <c r="D8" s="60" t="s">
        <v>51</v>
      </c>
      <c r="E8" s="61" t="s">
        <v>52</v>
      </c>
      <c r="F8" s="61">
        <v>8.0399999999999999E-2</v>
      </c>
      <c r="G8" s="61" t="s">
        <v>53</v>
      </c>
      <c r="H8" s="61" t="s">
        <v>62</v>
      </c>
      <c r="I8" s="61">
        <v>5647.95</v>
      </c>
      <c r="J8" s="61" t="s">
        <v>55</v>
      </c>
      <c r="K8" s="66">
        <f t="shared" si="0"/>
        <v>454.09517999999997</v>
      </c>
      <c r="L8" s="155"/>
      <c r="M8" s="54"/>
      <c r="N8" s="1"/>
      <c r="O8" s="1"/>
      <c r="P8" s="1"/>
      <c r="Q8" s="1"/>
      <c r="R8" s="1"/>
    </row>
    <row r="9" spans="1:18" ht="39">
      <c r="A9" s="155"/>
      <c r="B9" s="158"/>
      <c r="C9" s="140"/>
      <c r="D9" s="60" t="s">
        <v>56</v>
      </c>
      <c r="E9" s="61" t="s">
        <v>52</v>
      </c>
      <c r="F9" s="61">
        <v>0.17115</v>
      </c>
      <c r="G9" s="61" t="s">
        <v>53</v>
      </c>
      <c r="H9" s="61" t="s">
        <v>63</v>
      </c>
      <c r="I9" s="66">
        <v>1402.77</v>
      </c>
      <c r="J9" s="61" t="s">
        <v>58</v>
      </c>
      <c r="K9" s="66">
        <f t="shared" si="0"/>
        <v>240.08408549999999</v>
      </c>
      <c r="L9" s="155"/>
      <c r="M9" s="54"/>
      <c r="N9" s="1"/>
      <c r="O9" s="1"/>
      <c r="P9" s="1"/>
      <c r="Q9" s="1"/>
      <c r="R9" s="1"/>
    </row>
    <row r="10" spans="1:18" ht="39">
      <c r="A10" s="155"/>
      <c r="B10" s="158"/>
      <c r="C10" s="140"/>
      <c r="D10" s="60" t="s">
        <v>59</v>
      </c>
      <c r="E10" s="61" t="s">
        <v>52</v>
      </c>
      <c r="F10" s="61">
        <v>0.20100000000000001</v>
      </c>
      <c r="G10" s="61" t="s">
        <v>53</v>
      </c>
      <c r="H10" s="61" t="s">
        <v>64</v>
      </c>
      <c r="I10" s="61">
        <v>5647.95</v>
      </c>
      <c r="J10" s="61" t="s">
        <v>55</v>
      </c>
      <c r="K10" s="66">
        <f t="shared" si="0"/>
        <v>1135.23795</v>
      </c>
      <c r="L10" s="155"/>
      <c r="M10" s="54"/>
      <c r="N10" s="1"/>
      <c r="O10" s="1"/>
      <c r="P10" s="1"/>
      <c r="Q10" s="1"/>
      <c r="R10" s="1"/>
    </row>
    <row r="11" spans="1:18" ht="39">
      <c r="A11" s="155"/>
      <c r="B11" s="158"/>
      <c r="C11" s="150" t="s">
        <v>65</v>
      </c>
      <c r="D11" s="61" t="s">
        <v>66</v>
      </c>
      <c r="E11" s="61" t="s">
        <v>52</v>
      </c>
      <c r="F11" s="61">
        <v>5.1000000000000004E-3</v>
      </c>
      <c r="G11" s="61" t="s">
        <v>53</v>
      </c>
      <c r="H11" s="61" t="s">
        <v>67</v>
      </c>
      <c r="I11" s="61">
        <v>1402.77</v>
      </c>
      <c r="J11" s="61" t="s">
        <v>58</v>
      </c>
      <c r="K11" s="66">
        <f t="shared" si="0"/>
        <v>7.1541270000000008</v>
      </c>
      <c r="L11" s="155"/>
      <c r="M11" s="1"/>
      <c r="N11" s="1"/>
      <c r="O11" s="1"/>
      <c r="P11" s="1"/>
      <c r="Q11" s="1"/>
      <c r="R11" s="1"/>
    </row>
    <row r="12" spans="1:18" ht="39">
      <c r="A12" s="155"/>
      <c r="B12" s="158"/>
      <c r="C12" s="140"/>
      <c r="D12" s="68" t="s">
        <v>68</v>
      </c>
      <c r="E12" s="68" t="s">
        <v>47</v>
      </c>
      <c r="F12" s="68">
        <v>67</v>
      </c>
      <c r="G12" s="68" t="s">
        <v>48</v>
      </c>
      <c r="H12" s="61" t="s">
        <v>69</v>
      </c>
      <c r="I12" s="68">
        <v>82.8</v>
      </c>
      <c r="J12" s="61" t="s">
        <v>50</v>
      </c>
      <c r="K12" s="69">
        <f t="shared" si="0"/>
        <v>5547.5999999999995</v>
      </c>
      <c r="L12" s="155"/>
    </row>
    <row r="13" spans="1:18" ht="39">
      <c r="A13" s="156"/>
      <c r="B13" s="159"/>
      <c r="C13" s="70" t="s">
        <v>70</v>
      </c>
      <c r="D13" s="70" t="s">
        <v>71</v>
      </c>
      <c r="E13" s="70" t="s">
        <v>72</v>
      </c>
      <c r="F13" s="70">
        <v>0</v>
      </c>
      <c r="G13" s="70" t="s">
        <v>73</v>
      </c>
      <c r="H13" s="71" t="s">
        <v>74</v>
      </c>
      <c r="I13" s="70">
        <v>8.2000000000000003E-2</v>
      </c>
      <c r="J13" s="71" t="s">
        <v>75</v>
      </c>
      <c r="K13" s="72">
        <f t="shared" si="0"/>
        <v>0</v>
      </c>
      <c r="L13" s="156"/>
    </row>
    <row r="14" spans="1:18">
      <c r="A14" s="73"/>
      <c r="B14" s="73"/>
      <c r="C14" s="73"/>
      <c r="D14" s="73"/>
      <c r="E14" s="73"/>
      <c r="F14" s="73"/>
      <c r="G14" s="73"/>
      <c r="H14" s="73"/>
      <c r="I14" s="73"/>
      <c r="J14" s="73"/>
      <c r="K14" s="73"/>
      <c r="L14" s="73"/>
    </row>
    <row r="15" spans="1:18">
      <c r="A15" s="73"/>
      <c r="B15" s="73"/>
      <c r="C15" s="73"/>
      <c r="D15" s="73"/>
      <c r="E15" s="73"/>
      <c r="F15" s="73"/>
      <c r="G15" s="73"/>
      <c r="H15" s="73"/>
      <c r="I15" s="73"/>
      <c r="J15" s="73"/>
      <c r="K15" s="73"/>
      <c r="L15" s="73"/>
    </row>
    <row r="16" spans="1:18" ht="19">
      <c r="A16" s="73"/>
      <c r="B16" s="73"/>
      <c r="C16" s="73"/>
      <c r="D16" s="73"/>
      <c r="E16" s="73"/>
      <c r="F16" s="73"/>
      <c r="G16" s="73"/>
      <c r="H16" s="20"/>
      <c r="I16" s="20"/>
      <c r="J16" s="20"/>
      <c r="K16" s="20"/>
      <c r="L16" s="20"/>
    </row>
    <row r="17" spans="1:12">
      <c r="A17" s="73"/>
      <c r="B17" s="73"/>
      <c r="C17" s="73"/>
      <c r="D17" s="73"/>
      <c r="E17" s="73"/>
      <c r="F17" s="73"/>
      <c r="G17" s="73"/>
      <c r="H17" s="61"/>
      <c r="I17" s="61"/>
      <c r="J17" s="61"/>
      <c r="K17" s="61"/>
      <c r="L17" s="61"/>
    </row>
    <row r="18" spans="1:12">
      <c r="A18" s="73"/>
      <c r="B18" s="73"/>
      <c r="C18" s="73"/>
      <c r="D18" s="73"/>
      <c r="E18" s="73"/>
      <c r="F18" s="73"/>
      <c r="G18" s="73"/>
      <c r="H18" s="61"/>
      <c r="I18" s="61"/>
      <c r="J18" s="61"/>
      <c r="K18" s="61"/>
      <c r="L18" s="61"/>
    </row>
    <row r="19" spans="1:12">
      <c r="A19" s="73"/>
      <c r="B19" s="73"/>
      <c r="C19" s="73"/>
      <c r="D19" s="73"/>
      <c r="E19" s="73"/>
      <c r="F19" s="73"/>
      <c r="G19" s="73"/>
      <c r="H19" s="61"/>
      <c r="I19" s="61"/>
      <c r="J19" s="61"/>
      <c r="K19" s="61"/>
      <c r="L19" s="61"/>
    </row>
    <row r="20" spans="1:12">
      <c r="A20" s="73"/>
      <c r="B20" s="73"/>
      <c r="C20" s="73"/>
      <c r="D20" s="73"/>
      <c r="E20" s="73"/>
      <c r="F20" s="73"/>
      <c r="G20" s="73"/>
      <c r="H20" s="61"/>
      <c r="I20" s="61"/>
      <c r="J20" s="61"/>
      <c r="K20" s="61"/>
      <c r="L20" s="61"/>
    </row>
    <row r="21" spans="1:12">
      <c r="A21" s="73"/>
      <c r="B21" s="73"/>
      <c r="C21" s="73"/>
      <c r="D21" s="73"/>
      <c r="E21" s="73"/>
      <c r="F21" s="73"/>
      <c r="G21" s="73"/>
      <c r="H21" s="61"/>
      <c r="I21" s="61"/>
      <c r="J21" s="61"/>
      <c r="K21" s="61"/>
      <c r="L21" s="61"/>
    </row>
    <row r="22" spans="1:12">
      <c r="A22" s="73"/>
      <c r="B22" s="73"/>
      <c r="C22" s="73"/>
      <c r="D22" s="73"/>
      <c r="E22" s="73"/>
      <c r="F22" s="73"/>
      <c r="G22" s="73"/>
      <c r="H22" s="61"/>
      <c r="I22" s="61"/>
      <c r="J22" s="61"/>
      <c r="K22" s="61"/>
      <c r="L22" s="61"/>
    </row>
    <row r="23" spans="1:12">
      <c r="A23" s="73"/>
      <c r="B23" s="73"/>
      <c r="C23" s="73"/>
      <c r="D23" s="73"/>
      <c r="E23" s="73"/>
      <c r="F23" s="73"/>
      <c r="G23" s="73"/>
      <c r="H23" s="61"/>
      <c r="I23" s="61"/>
      <c r="J23" s="61"/>
      <c r="K23" s="61"/>
      <c r="L23" s="61"/>
    </row>
    <row r="24" spans="1:12">
      <c r="A24" s="73"/>
      <c r="B24" s="73"/>
      <c r="C24" s="73"/>
      <c r="D24" s="73"/>
      <c r="E24" s="73"/>
      <c r="F24" s="73"/>
      <c r="G24" s="73"/>
      <c r="H24" s="74"/>
      <c r="I24" s="74"/>
      <c r="J24" s="74"/>
      <c r="K24" s="74"/>
      <c r="L24" s="74"/>
    </row>
  </sheetData>
  <mergeCells count="9">
    <mergeCell ref="C7:C10"/>
    <mergeCell ref="C11:C12"/>
    <mergeCell ref="A1:L1"/>
    <mergeCell ref="A3:A13"/>
    <mergeCell ref="B3:B6"/>
    <mergeCell ref="C3:C6"/>
    <mergeCell ref="L3:L6"/>
    <mergeCell ref="B7:B13"/>
    <mergeCell ref="L7:L13"/>
  </mergeCells>
  <hyperlinks>
    <hyperlink ref="H4" r:id="rId1" xr:uid="{00000000-0004-0000-0100-000000000000}"/>
    <hyperlink ref="H5" r:id="rId2" xr:uid="{00000000-0004-0000-0100-000001000000}"/>
    <hyperlink ref="H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R58"/>
  <sheetViews>
    <sheetView topLeftCell="B1" workbookViewId="0">
      <selection activeCell="D3" sqref="D3"/>
    </sheetView>
  </sheetViews>
  <sheetFormatPr baseColWidth="10" defaultColWidth="12.6640625" defaultRowHeight="13"/>
  <cols>
    <col min="1" max="1" width="21.33203125" customWidth="1"/>
    <col min="2" max="2" width="22.1640625" customWidth="1"/>
    <col min="3" max="3" width="14.83203125" customWidth="1"/>
    <col min="4" max="4" width="42.6640625" customWidth="1"/>
    <col min="5" max="6" width="31" customWidth="1"/>
    <col min="7" max="7" width="24.33203125" customWidth="1"/>
    <col min="8" max="12" width="24.6640625" customWidth="1"/>
  </cols>
  <sheetData>
    <row r="1" spans="1:18" ht="29" customHeight="1">
      <c r="A1" s="151" t="s">
        <v>76</v>
      </c>
      <c r="B1" s="152"/>
      <c r="C1" s="152"/>
      <c r="D1" s="152"/>
      <c r="E1" s="152"/>
      <c r="F1" s="152"/>
      <c r="G1" s="152"/>
      <c r="H1" s="152"/>
      <c r="I1" s="152"/>
      <c r="J1" s="152"/>
      <c r="K1" s="152"/>
      <c r="L1" s="153"/>
      <c r="M1" s="54"/>
      <c r="N1" s="1"/>
      <c r="O1" s="1"/>
      <c r="P1" s="1"/>
      <c r="Q1" s="1"/>
      <c r="R1" s="1"/>
    </row>
    <row r="2" spans="1:18" ht="60">
      <c r="A2" s="56" t="s">
        <v>33</v>
      </c>
      <c r="B2" s="57" t="s">
        <v>34</v>
      </c>
      <c r="C2" s="57" t="s">
        <v>35</v>
      </c>
      <c r="D2" s="57" t="s">
        <v>36</v>
      </c>
      <c r="E2" s="57" t="s">
        <v>37</v>
      </c>
      <c r="F2" s="57" t="s">
        <v>38</v>
      </c>
      <c r="G2" s="57" t="s">
        <v>39</v>
      </c>
      <c r="H2" s="57" t="s">
        <v>40</v>
      </c>
      <c r="I2" s="57" t="s">
        <v>41</v>
      </c>
      <c r="J2" s="57" t="s">
        <v>77</v>
      </c>
      <c r="K2" s="58" t="s">
        <v>43</v>
      </c>
      <c r="L2" s="58" t="s">
        <v>78</v>
      </c>
      <c r="M2" s="54"/>
      <c r="O2" s="1"/>
      <c r="P2" s="1"/>
      <c r="Q2" s="1"/>
      <c r="R2" s="1"/>
    </row>
    <row r="3" spans="1:18" ht="78">
      <c r="A3" s="164" t="s">
        <v>79</v>
      </c>
      <c r="B3" s="166" t="s">
        <v>80</v>
      </c>
      <c r="C3" s="150" t="s">
        <v>81</v>
      </c>
      <c r="D3" s="60" t="s">
        <v>82</v>
      </c>
      <c r="E3" s="61" t="s">
        <v>83</v>
      </c>
      <c r="F3" s="61">
        <f>SUM((3619*0.79*'Journey examples and averages'!P38*2)+(3619*0.12*'Journey examples and averages'!P39*2)+(3619*0.09*'Journey examples and averages'!P40*2))</f>
        <v>8268.898000000001</v>
      </c>
      <c r="G3" s="61" t="s">
        <v>84</v>
      </c>
      <c r="H3" s="64" t="s">
        <v>85</v>
      </c>
      <c r="I3" s="61">
        <v>0</v>
      </c>
      <c r="J3" s="61" t="s">
        <v>86</v>
      </c>
      <c r="K3" s="65">
        <f t="shared" ref="K3:K22" si="0">SUM(F3*I3)</f>
        <v>0</v>
      </c>
      <c r="L3" s="161">
        <f>SUM(K3:K6)</f>
        <v>22746.556912614291</v>
      </c>
      <c r="M3" s="54"/>
      <c r="O3" s="1"/>
      <c r="P3" s="1"/>
      <c r="Q3" s="1"/>
      <c r="R3" s="1"/>
    </row>
    <row r="4" spans="1:18" ht="78">
      <c r="A4" s="155"/>
      <c r="B4" s="158"/>
      <c r="C4" s="140"/>
      <c r="D4" s="60" t="s">
        <v>87</v>
      </c>
      <c r="E4" s="61" t="s">
        <v>83</v>
      </c>
      <c r="F4" s="61">
        <f>SUM((3619*0.79*'Journey examples and averages'!Q38*2)+(3619*0.12*'Journey examples and averages'!Q39*2)+(3619*0.09*'Journey examples and averages'!Q40*2))</f>
        <v>121789.69000000003</v>
      </c>
      <c r="G4" s="61" t="s">
        <v>84</v>
      </c>
      <c r="H4" s="64" t="s">
        <v>88</v>
      </c>
      <c r="I4" s="61">
        <v>8.319E-2</v>
      </c>
      <c r="J4" s="61" t="s">
        <v>89</v>
      </c>
      <c r="K4" s="65">
        <f t="shared" si="0"/>
        <v>10131.684311100003</v>
      </c>
      <c r="L4" s="162"/>
      <c r="M4" s="54"/>
      <c r="O4" s="1"/>
      <c r="P4" s="1"/>
      <c r="Q4" s="1"/>
      <c r="R4" s="1"/>
    </row>
    <row r="5" spans="1:18" ht="78">
      <c r="A5" s="155"/>
      <c r="B5" s="158"/>
      <c r="C5" s="140"/>
      <c r="D5" s="60" t="s">
        <v>90</v>
      </c>
      <c r="E5" s="61" t="s">
        <v>91</v>
      </c>
      <c r="F5" s="61">
        <f>SUM((3619*((0.79*'Journey examples and averages'!R38*2)+(0.12*'Journey examples and averages'!R39*2)+(0.09*'Journey examples and averages'!R40*2))))</f>
        <v>107959.94000000002</v>
      </c>
      <c r="G5" s="61" t="s">
        <v>92</v>
      </c>
      <c r="H5" s="64" t="s">
        <v>93</v>
      </c>
      <c r="I5" s="61">
        <v>0.10215</v>
      </c>
      <c r="J5" s="61" t="s">
        <v>94</v>
      </c>
      <c r="K5" s="65">
        <f t="shared" si="0"/>
        <v>11028.107871000002</v>
      </c>
      <c r="L5" s="162"/>
      <c r="M5" s="54"/>
      <c r="O5" s="1"/>
      <c r="P5" s="1"/>
      <c r="Q5" s="1"/>
      <c r="R5" s="1"/>
    </row>
    <row r="6" spans="1:18" ht="117">
      <c r="A6" s="155"/>
      <c r="B6" s="159"/>
      <c r="C6" s="75" t="s">
        <v>95</v>
      </c>
      <c r="D6" s="75" t="s">
        <v>96</v>
      </c>
      <c r="E6" s="71" t="s">
        <v>83</v>
      </c>
      <c r="F6" s="71">
        <f>SUM((8*4*2*'Journey examples and averages'!V38)+(8*2*8*'Journey examples and averages'!O45))</f>
        <v>7857.3714285714286</v>
      </c>
      <c r="G6" s="71" t="s">
        <v>84</v>
      </c>
      <c r="H6" s="76" t="s">
        <v>97</v>
      </c>
      <c r="I6" s="71">
        <v>0.20194599999999999</v>
      </c>
      <c r="J6" s="71" t="s">
        <v>98</v>
      </c>
      <c r="K6" s="77">
        <f t="shared" si="0"/>
        <v>1586.7647305142857</v>
      </c>
      <c r="L6" s="162"/>
      <c r="M6" s="54"/>
      <c r="O6" s="1"/>
      <c r="P6" s="1"/>
      <c r="Q6" s="1"/>
      <c r="R6" s="1"/>
    </row>
    <row r="7" spans="1:18" ht="78">
      <c r="A7" s="155"/>
      <c r="B7" s="166" t="s">
        <v>99</v>
      </c>
      <c r="C7" s="150" t="s">
        <v>81</v>
      </c>
      <c r="D7" s="60" t="s">
        <v>82</v>
      </c>
      <c r="E7" s="61" t="s">
        <v>83</v>
      </c>
      <c r="F7" s="61">
        <f>SUM((3059*0.79*'Journey examples and averages'!P38*2)+(3059*0.12*'Journey examples and averages'!P39*2)+(3059*0.09*'Journey examples and averages'!P40*2))</f>
        <v>6989.3780000000006</v>
      </c>
      <c r="G7" s="61" t="s">
        <v>84</v>
      </c>
      <c r="H7" s="64" t="s">
        <v>100</v>
      </c>
      <c r="I7" s="61">
        <v>0</v>
      </c>
      <c r="J7" s="61" t="s">
        <v>86</v>
      </c>
      <c r="K7" s="65">
        <f t="shared" si="0"/>
        <v>0</v>
      </c>
      <c r="L7" s="161">
        <f>SUM(K7:K10)</f>
        <v>19075.623225985717</v>
      </c>
      <c r="M7" s="54"/>
      <c r="O7" s="1"/>
      <c r="P7" s="1"/>
      <c r="Q7" s="1"/>
      <c r="R7" s="1"/>
    </row>
    <row r="8" spans="1:18" ht="78">
      <c r="A8" s="155"/>
      <c r="B8" s="158"/>
      <c r="C8" s="140"/>
      <c r="D8" s="60" t="s">
        <v>87</v>
      </c>
      <c r="E8" s="61" t="s">
        <v>83</v>
      </c>
      <c r="F8" s="61">
        <f>SUM((3059*0.79*'Journey examples and averages'!Q38*2)+(3059*0.12*'Journey examples and averages'!Q39*2)+(3059*0.09*'Journey examples and averages'!Q40*2))</f>
        <v>102944.09000000003</v>
      </c>
      <c r="G8" s="61" t="s">
        <v>84</v>
      </c>
      <c r="H8" s="64" t="s">
        <v>101</v>
      </c>
      <c r="I8" s="61">
        <v>8.319E-2</v>
      </c>
      <c r="J8" s="61" t="s">
        <v>89</v>
      </c>
      <c r="K8" s="65">
        <f t="shared" si="0"/>
        <v>8563.9188471000016</v>
      </c>
      <c r="L8" s="162"/>
      <c r="M8" s="54"/>
      <c r="O8" s="1"/>
      <c r="P8" s="1"/>
      <c r="Q8" s="1"/>
      <c r="R8" s="1"/>
    </row>
    <row r="9" spans="1:18" ht="78">
      <c r="A9" s="155"/>
      <c r="B9" s="158"/>
      <c r="C9" s="140"/>
      <c r="D9" s="60" t="s">
        <v>90</v>
      </c>
      <c r="E9" s="61" t="s">
        <v>91</v>
      </c>
      <c r="F9" s="61">
        <f>SUM((3059*((0.79*'Journey examples and averages'!R38*2)+(0.12*'Journey examples and averages'!R39*2)+(0.09*'Journey examples and averages'!R40*2))))</f>
        <v>91254.340000000011</v>
      </c>
      <c r="G9" s="61" t="s">
        <v>92</v>
      </c>
      <c r="H9" s="64" t="s">
        <v>102</v>
      </c>
      <c r="I9" s="61">
        <v>0.10215</v>
      </c>
      <c r="J9" s="61" t="s">
        <v>94</v>
      </c>
      <c r="K9" s="65">
        <f t="shared" si="0"/>
        <v>9321.6308310000022</v>
      </c>
      <c r="L9" s="162"/>
      <c r="M9" s="54"/>
      <c r="O9" s="1"/>
      <c r="P9" s="1"/>
      <c r="Q9" s="1"/>
      <c r="R9" s="1"/>
    </row>
    <row r="10" spans="1:18" ht="117">
      <c r="A10" s="156"/>
      <c r="B10" s="159"/>
      <c r="C10" s="60" t="s">
        <v>95</v>
      </c>
      <c r="D10" s="60" t="s">
        <v>96</v>
      </c>
      <c r="E10" s="61" t="s">
        <v>83</v>
      </c>
      <c r="F10" s="61">
        <f>SUM((6*4*2*'Journey examples and averages'!V38)+(6*2*8*'Journey examples and averages'!O45))</f>
        <v>5893.028571428571</v>
      </c>
      <c r="G10" s="71" t="s">
        <v>84</v>
      </c>
      <c r="H10" s="76" t="s">
        <v>103</v>
      </c>
      <c r="I10" s="71">
        <v>0.20194599999999999</v>
      </c>
      <c r="J10" s="71" t="s">
        <v>98</v>
      </c>
      <c r="K10" s="77">
        <f t="shared" si="0"/>
        <v>1190.0735478857141</v>
      </c>
      <c r="L10" s="162"/>
      <c r="M10" s="54"/>
      <c r="N10" s="1"/>
      <c r="O10" s="1"/>
      <c r="P10" s="1"/>
      <c r="Q10" s="1"/>
      <c r="R10" s="1"/>
    </row>
    <row r="11" spans="1:18" ht="78">
      <c r="A11" s="165" t="s">
        <v>104</v>
      </c>
      <c r="B11" s="157" t="s">
        <v>105</v>
      </c>
      <c r="C11" s="149" t="s">
        <v>81</v>
      </c>
      <c r="D11" s="59" t="s">
        <v>82</v>
      </c>
      <c r="E11" s="62" t="s">
        <v>83</v>
      </c>
      <c r="F11" s="62">
        <f>SUM((60*0.79*'Journey examples and averages'!P38*2*3)+(60*0.12*'Journey examples and averages'!P39*2*3)+(60*0.09*'Journey examples and averages'!P40*2*3))</f>
        <v>411.27428571428578</v>
      </c>
      <c r="G11" s="62" t="s">
        <v>84</v>
      </c>
      <c r="H11" s="64" t="s">
        <v>106</v>
      </c>
      <c r="I11" s="61">
        <v>0</v>
      </c>
      <c r="J11" s="61" t="s">
        <v>86</v>
      </c>
      <c r="K11" s="65">
        <f t="shared" si="0"/>
        <v>0</v>
      </c>
      <c r="L11" s="163">
        <f>SUM(K11:K14)</f>
        <v>2077.7207024571426</v>
      </c>
      <c r="M11" s="54"/>
      <c r="N11" s="1"/>
      <c r="O11" s="1"/>
      <c r="P11" s="1"/>
      <c r="Q11" s="1"/>
      <c r="R11" s="1"/>
    </row>
    <row r="12" spans="1:18" ht="78">
      <c r="A12" s="155"/>
      <c r="B12" s="158"/>
      <c r="C12" s="140"/>
      <c r="D12" s="60" t="s">
        <v>87</v>
      </c>
      <c r="E12" s="61" t="s">
        <v>83</v>
      </c>
      <c r="F12" s="61">
        <f>SUM((60*0.79*'Journey examples and averages'!Q38*2*3)+(60*0.12*'Journey examples and averages'!Q39*2*3)+(60*0.09*'Journey examples and averages'!Q40*2*3))</f>
        <v>6057.5142857142873</v>
      </c>
      <c r="G12" s="61" t="s">
        <v>84</v>
      </c>
      <c r="H12" s="64" t="s">
        <v>107</v>
      </c>
      <c r="I12" s="61">
        <v>8.319E-2</v>
      </c>
      <c r="J12" s="61" t="s">
        <v>89</v>
      </c>
      <c r="K12" s="65">
        <f t="shared" si="0"/>
        <v>503.92461342857155</v>
      </c>
      <c r="L12" s="155"/>
      <c r="M12" s="54"/>
      <c r="N12" s="1"/>
      <c r="O12" s="1"/>
      <c r="P12" s="1"/>
      <c r="Q12" s="1"/>
      <c r="R12" s="1"/>
    </row>
    <row r="13" spans="1:18" ht="78">
      <c r="A13" s="155"/>
      <c r="B13" s="158"/>
      <c r="C13" s="140"/>
      <c r="D13" s="60" t="s">
        <v>90</v>
      </c>
      <c r="E13" s="61" t="s">
        <v>91</v>
      </c>
      <c r="F13" s="61">
        <f>SUM((60*((0.79*'Journey examples and averages'!R38*2*3)+(0.12*'Journey examples and averages'!R39*2*3)+(0.09*'Journey examples and averages'!R40*2*3))))</f>
        <v>5369.6571428571433</v>
      </c>
      <c r="G13" s="61" t="s">
        <v>92</v>
      </c>
      <c r="H13" s="64" t="s">
        <v>108</v>
      </c>
      <c r="I13" s="61">
        <v>0.10215</v>
      </c>
      <c r="J13" s="61" t="s">
        <v>94</v>
      </c>
      <c r="K13" s="65">
        <f t="shared" si="0"/>
        <v>548.51047714285721</v>
      </c>
      <c r="L13" s="155"/>
      <c r="M13" s="54"/>
      <c r="N13" s="1"/>
      <c r="O13" s="1"/>
      <c r="P13" s="1"/>
      <c r="Q13" s="1"/>
      <c r="R13" s="1"/>
    </row>
    <row r="14" spans="1:18" ht="52">
      <c r="A14" s="155"/>
      <c r="B14" s="159"/>
      <c r="C14" s="75" t="s">
        <v>109</v>
      </c>
      <c r="D14" s="75" t="s">
        <v>96</v>
      </c>
      <c r="E14" s="71" t="s">
        <v>83</v>
      </c>
      <c r="F14" s="71">
        <f>SUM((8*3*2*'Journey examples and averages'!V38))</f>
        <v>5077.028571428571</v>
      </c>
      <c r="G14" s="71" t="s">
        <v>84</v>
      </c>
      <c r="H14" s="76" t="s">
        <v>110</v>
      </c>
      <c r="I14" s="71">
        <v>0.20194599999999999</v>
      </c>
      <c r="J14" s="71" t="s">
        <v>98</v>
      </c>
      <c r="K14" s="65">
        <f t="shared" si="0"/>
        <v>1025.2856118857142</v>
      </c>
      <c r="L14" s="156"/>
      <c r="M14" s="54"/>
      <c r="N14" s="1"/>
      <c r="O14" s="1"/>
      <c r="P14" s="1"/>
      <c r="Q14" s="1"/>
      <c r="R14" s="1"/>
    </row>
    <row r="15" spans="1:18" ht="78">
      <c r="A15" s="155"/>
      <c r="B15" s="157" t="s">
        <v>111</v>
      </c>
      <c r="C15" s="149" t="s">
        <v>81</v>
      </c>
      <c r="D15" s="59" t="s">
        <v>82</v>
      </c>
      <c r="E15" s="62" t="s">
        <v>83</v>
      </c>
      <c r="F15" s="62">
        <f>SUM((57*0.79*'Journey examples and averages'!P38*2)+(57*0.12*'Journey examples and averages'!P39*2)+(57*0.09*'Journey examples and averages'!P40*2))</f>
        <v>130.23685714285716</v>
      </c>
      <c r="G15" s="62" t="s">
        <v>84</v>
      </c>
      <c r="H15" s="64" t="s">
        <v>112</v>
      </c>
      <c r="I15" s="61">
        <v>0</v>
      </c>
      <c r="J15" s="61" t="s">
        <v>86</v>
      </c>
      <c r="K15" s="67">
        <f t="shared" si="0"/>
        <v>0</v>
      </c>
      <c r="L15" s="163">
        <f>SUM(K15:K17)</f>
        <v>333.27111201428579</v>
      </c>
      <c r="M15" s="54"/>
      <c r="N15" s="1"/>
      <c r="O15" s="1"/>
      <c r="P15" s="1"/>
      <c r="Q15" s="1"/>
      <c r="R15" s="1"/>
    </row>
    <row r="16" spans="1:18" ht="78">
      <c r="A16" s="155"/>
      <c r="B16" s="158"/>
      <c r="C16" s="140"/>
      <c r="D16" s="60" t="s">
        <v>87</v>
      </c>
      <c r="E16" s="61" t="s">
        <v>83</v>
      </c>
      <c r="F16" s="61">
        <f>SUM((57*0.79*'Journey examples and averages'!Q38*2)+(57*0.12*'Journey examples and averages'!Q39*2)+(57*0.09*'Journey examples and averages'!Q40*2))</f>
        <v>1918.2128571428573</v>
      </c>
      <c r="G16" s="61" t="s">
        <v>84</v>
      </c>
      <c r="H16" s="64" t="s">
        <v>113</v>
      </c>
      <c r="I16" s="61">
        <v>8.319E-2</v>
      </c>
      <c r="J16" s="61" t="s">
        <v>89</v>
      </c>
      <c r="K16" s="65">
        <f t="shared" si="0"/>
        <v>159.57612758571429</v>
      </c>
      <c r="L16" s="155"/>
      <c r="M16" s="54"/>
      <c r="N16" s="1"/>
      <c r="O16" s="1"/>
      <c r="P16" s="1"/>
      <c r="Q16" s="1"/>
      <c r="R16" s="1"/>
    </row>
    <row r="17" spans="1:18" ht="78">
      <c r="A17" s="155"/>
      <c r="B17" s="159"/>
      <c r="C17" s="160"/>
      <c r="D17" s="75" t="s">
        <v>90</v>
      </c>
      <c r="E17" s="61" t="s">
        <v>91</v>
      </c>
      <c r="F17" s="71">
        <f>SUM((57*((0.79*'Journey examples and averages'!R38*2)+(0.12*'Journey examples and averages'!R39*2)+(0.09*'Journey examples and averages'!R40*2))))</f>
        <v>1700.3914285714288</v>
      </c>
      <c r="G17" s="61" t="s">
        <v>92</v>
      </c>
      <c r="H17" s="64" t="s">
        <v>114</v>
      </c>
      <c r="I17" s="71">
        <v>0.10215</v>
      </c>
      <c r="J17" s="71" t="s">
        <v>94</v>
      </c>
      <c r="K17" s="66">
        <f t="shared" si="0"/>
        <v>173.69498442857147</v>
      </c>
      <c r="L17" s="156"/>
      <c r="M17" s="54"/>
      <c r="N17" s="1"/>
      <c r="O17" s="1"/>
      <c r="P17" s="1"/>
      <c r="Q17" s="1"/>
      <c r="R17" s="1"/>
    </row>
    <row r="18" spans="1:18" ht="78">
      <c r="A18" s="155"/>
      <c r="B18" s="157" t="s">
        <v>115</v>
      </c>
      <c r="C18" s="149" t="s">
        <v>81</v>
      </c>
      <c r="D18" s="59" t="s">
        <v>82</v>
      </c>
      <c r="E18" s="62" t="s">
        <v>83</v>
      </c>
      <c r="F18" s="62">
        <f>SUM((6700*0.79*'Journey examples and averages'!P38*2)+(6700*0.12*'Journey examples and averages'!P39*2)+(6700*0.09*'Journey examples and averages'!P40*2))</f>
        <v>15308.542857142858</v>
      </c>
      <c r="G18" s="62" t="s">
        <v>84</v>
      </c>
      <c r="H18" s="78" t="s">
        <v>116</v>
      </c>
      <c r="I18" s="61">
        <v>0</v>
      </c>
      <c r="J18" s="61" t="s">
        <v>86</v>
      </c>
      <c r="K18" s="67">
        <f t="shared" si="0"/>
        <v>0</v>
      </c>
      <c r="L18" s="163">
        <f>SUM(K18:K23)</f>
        <v>82942.310459142856</v>
      </c>
      <c r="M18" s="54"/>
      <c r="N18" s="1"/>
      <c r="O18" s="1"/>
      <c r="P18" s="1"/>
      <c r="Q18" s="1"/>
      <c r="R18" s="1"/>
    </row>
    <row r="19" spans="1:18" ht="78">
      <c r="A19" s="155"/>
      <c r="B19" s="158"/>
      <c r="C19" s="140"/>
      <c r="D19" s="60" t="s">
        <v>87</v>
      </c>
      <c r="E19" s="61" t="s">
        <v>83</v>
      </c>
      <c r="F19" s="61">
        <f>SUM((6700*0.79*'Journey examples and averages'!Q38*2)+(6700*0.12*'Journey examples and averages'!Q39*2)+(6700*0.09*'Journey examples and averages'!Q40*2))</f>
        <v>225474.14285714287</v>
      </c>
      <c r="G19" s="61" t="s">
        <v>84</v>
      </c>
      <c r="H19" s="64" t="s">
        <v>117</v>
      </c>
      <c r="I19" s="61">
        <v>8.319E-2</v>
      </c>
      <c r="J19" s="61" t="s">
        <v>89</v>
      </c>
      <c r="K19" s="65">
        <f t="shared" si="0"/>
        <v>18757.193944285715</v>
      </c>
      <c r="L19" s="155"/>
      <c r="M19" s="54"/>
      <c r="N19" s="1"/>
      <c r="O19" s="1"/>
      <c r="P19" s="1"/>
      <c r="Q19" s="1"/>
      <c r="R19" s="1"/>
    </row>
    <row r="20" spans="1:18" ht="78">
      <c r="A20" s="155"/>
      <c r="B20" s="158"/>
      <c r="C20" s="140"/>
      <c r="D20" s="60" t="s">
        <v>90</v>
      </c>
      <c r="E20" s="61" t="s">
        <v>91</v>
      </c>
      <c r="F20" s="61">
        <f>SUM((6700*((0.79*'Journey examples and averages'!R38*2)+(0.12*'Journey examples and averages'!R39*2)+(0.09*'Journey examples and averages'!R40*2))))</f>
        <v>199870.57142857145</v>
      </c>
      <c r="G20" s="61" t="s">
        <v>92</v>
      </c>
      <c r="H20" s="64" t="s">
        <v>118</v>
      </c>
      <c r="I20" s="61">
        <v>0.10215</v>
      </c>
      <c r="J20" s="61" t="s">
        <v>94</v>
      </c>
      <c r="K20" s="66">
        <f t="shared" si="0"/>
        <v>20416.778871428574</v>
      </c>
      <c r="L20" s="155"/>
      <c r="M20" s="54"/>
      <c r="N20" s="1"/>
      <c r="O20" s="1"/>
      <c r="P20" s="1"/>
      <c r="Q20" s="1"/>
      <c r="R20" s="1"/>
    </row>
    <row r="21" spans="1:18" ht="104">
      <c r="A21" s="155"/>
      <c r="B21" s="158"/>
      <c r="C21" s="150" t="s">
        <v>119</v>
      </c>
      <c r="D21" s="60" t="s">
        <v>90</v>
      </c>
      <c r="E21" s="61" t="s">
        <v>91</v>
      </c>
      <c r="F21" s="61">
        <f>SUM((8*(2*3*'Journey examples and averages'!V38)))</f>
        <v>5077.028571428571</v>
      </c>
      <c r="G21" s="61" t="s">
        <v>92</v>
      </c>
      <c r="H21" s="64" t="s">
        <v>120</v>
      </c>
      <c r="I21" s="61">
        <v>0.10215</v>
      </c>
      <c r="J21" s="61" t="s">
        <v>94</v>
      </c>
      <c r="K21" s="66">
        <f t="shared" si="0"/>
        <v>518.61846857142859</v>
      </c>
      <c r="L21" s="155"/>
      <c r="M21" s="54"/>
      <c r="N21" s="1"/>
      <c r="O21" s="1"/>
      <c r="P21" s="1"/>
      <c r="Q21" s="1"/>
      <c r="R21" s="1"/>
    </row>
    <row r="22" spans="1:18" ht="234">
      <c r="A22" s="155"/>
      <c r="B22" s="158"/>
      <c r="C22" s="140"/>
      <c r="D22" s="60" t="s">
        <v>96</v>
      </c>
      <c r="E22" s="61" t="s">
        <v>83</v>
      </c>
      <c r="F22" s="61">
        <f>SUM((14*2*'Journey examples and averages'!V38)+(8*2*2*'Journey examples and averages'!V38)+(8*2*20*'Journey examples and averages'!O45)+(8*2*2*10*'Journey examples and averages'!O45)+(14*2*2*20*'Journey examples and averages'!O45))</f>
        <v>21306.285714285714</v>
      </c>
      <c r="G22" s="61" t="s">
        <v>84</v>
      </c>
      <c r="H22" s="64" t="s">
        <v>121</v>
      </c>
      <c r="I22" s="61">
        <v>0.20194599999999999</v>
      </c>
      <c r="J22" s="61" t="s">
        <v>98</v>
      </c>
      <c r="K22" s="66">
        <f t="shared" si="0"/>
        <v>4302.7191748571422</v>
      </c>
      <c r="L22" s="155"/>
      <c r="M22" s="54"/>
      <c r="N22" s="1"/>
      <c r="O22" s="1"/>
      <c r="P22" s="1"/>
      <c r="Q22" s="1"/>
      <c r="R22" s="1"/>
    </row>
    <row r="23" spans="1:18" ht="156">
      <c r="A23" s="156"/>
      <c r="B23" s="159"/>
      <c r="C23" s="140"/>
      <c r="D23" s="75" t="s">
        <v>122</v>
      </c>
      <c r="E23" s="71" t="s">
        <v>123</v>
      </c>
      <c r="F23" s="71">
        <f>SUM(13251+8707+5916+5673+5400)</f>
        <v>38947</v>
      </c>
      <c r="G23" s="71" t="s">
        <v>123</v>
      </c>
      <c r="H23" s="71" t="s">
        <v>124</v>
      </c>
      <c r="I23" s="71" t="s">
        <v>125</v>
      </c>
      <c r="J23" s="76" t="s">
        <v>126</v>
      </c>
      <c r="K23" s="79">
        <f>SUM(F23)</f>
        <v>38947</v>
      </c>
      <c r="L23" s="156"/>
      <c r="M23" s="54"/>
      <c r="N23" s="1"/>
      <c r="O23" s="1"/>
      <c r="P23" s="1"/>
      <c r="Q23" s="1"/>
      <c r="R23" s="1"/>
    </row>
    <row r="24" spans="1:18" ht="42">
      <c r="A24" s="169" t="s">
        <v>127</v>
      </c>
      <c r="B24" s="157" t="s">
        <v>23</v>
      </c>
      <c r="C24" s="149" t="s">
        <v>128</v>
      </c>
      <c r="D24" s="62" t="s">
        <v>129</v>
      </c>
      <c r="E24" s="62" t="s">
        <v>130</v>
      </c>
      <c r="F24" s="80">
        <f>SUM(((371*3200)/1000000)*11183)</f>
        <v>13276.4576</v>
      </c>
      <c r="G24" s="62" t="s">
        <v>131</v>
      </c>
      <c r="H24" s="81" t="s">
        <v>132</v>
      </c>
      <c r="I24" s="80">
        <v>0.01</v>
      </c>
      <c r="J24" s="62" t="s">
        <v>133</v>
      </c>
      <c r="K24" s="82">
        <f t="shared" ref="K24:K49" si="1">SUM(F24*I24)</f>
        <v>132.76457600000001</v>
      </c>
      <c r="L24" s="163">
        <f>SUM(K24:K31)</f>
        <v>4807.3353920000009</v>
      </c>
      <c r="M24" s="54"/>
      <c r="N24" s="1"/>
      <c r="O24" s="1"/>
      <c r="P24" s="1"/>
      <c r="Q24" s="1"/>
      <c r="R24" s="1"/>
    </row>
    <row r="25" spans="1:18" ht="65">
      <c r="A25" s="155"/>
      <c r="B25" s="158"/>
      <c r="C25" s="140"/>
      <c r="D25" s="61" t="s">
        <v>134</v>
      </c>
      <c r="E25" s="61" t="s">
        <v>130</v>
      </c>
      <c r="F25" s="83">
        <f>SUM('Hardware Manufacturing + Repair'!F4*11183)</f>
        <v>429.42719999999997</v>
      </c>
      <c r="G25" s="61" t="s">
        <v>131</v>
      </c>
      <c r="H25" s="64" t="s">
        <v>135</v>
      </c>
      <c r="I25" s="83">
        <v>0.01</v>
      </c>
      <c r="J25" s="61" t="s">
        <v>133</v>
      </c>
      <c r="K25" s="84">
        <f t="shared" si="1"/>
        <v>4.2942719999999994</v>
      </c>
      <c r="L25" s="155"/>
      <c r="M25" s="54"/>
      <c r="N25" s="1"/>
      <c r="O25" s="1"/>
      <c r="P25" s="1"/>
      <c r="Q25" s="1"/>
      <c r="R25" s="1"/>
    </row>
    <row r="26" spans="1:18" ht="52">
      <c r="A26" s="155"/>
      <c r="B26" s="158"/>
      <c r="C26" s="140"/>
      <c r="D26" s="61" t="s">
        <v>136</v>
      </c>
      <c r="E26" s="61" t="s">
        <v>130</v>
      </c>
      <c r="F26" s="83">
        <f>SUM('Hardware Manufacturing + Repair'!F5*11183)</f>
        <v>5367.84</v>
      </c>
      <c r="G26" s="61" t="s">
        <v>131</v>
      </c>
      <c r="H26" s="64" t="s">
        <v>137</v>
      </c>
      <c r="I26" s="83">
        <v>0.01</v>
      </c>
      <c r="J26" s="61" t="s">
        <v>133</v>
      </c>
      <c r="K26" s="84">
        <f t="shared" si="1"/>
        <v>53.678400000000003</v>
      </c>
      <c r="L26" s="155"/>
      <c r="M26" s="54"/>
      <c r="N26" s="1"/>
      <c r="O26" s="1"/>
      <c r="P26" s="1"/>
      <c r="Q26" s="1"/>
      <c r="R26" s="1"/>
    </row>
    <row r="27" spans="1:18" ht="52">
      <c r="A27" s="155"/>
      <c r="B27" s="158"/>
      <c r="C27" s="140"/>
      <c r="D27" s="61" t="s">
        <v>138</v>
      </c>
      <c r="E27" s="61" t="s">
        <v>130</v>
      </c>
      <c r="F27" s="83">
        <f>SUM('Hardware Manufacturing + Repair'!F6*11183)</f>
        <v>1073.568</v>
      </c>
      <c r="G27" s="61" t="s">
        <v>131</v>
      </c>
      <c r="H27" s="64" t="s">
        <v>139</v>
      </c>
      <c r="I27" s="83">
        <v>0.01</v>
      </c>
      <c r="J27" s="61" t="s">
        <v>133</v>
      </c>
      <c r="K27" s="84">
        <f t="shared" si="1"/>
        <v>10.73568</v>
      </c>
      <c r="L27" s="155"/>
      <c r="M27" s="54"/>
      <c r="N27" s="1"/>
      <c r="O27" s="1"/>
      <c r="P27" s="1"/>
      <c r="Q27" s="1"/>
      <c r="R27" s="1"/>
    </row>
    <row r="28" spans="1:18" ht="39">
      <c r="A28" s="155"/>
      <c r="B28" s="158"/>
      <c r="C28" s="140"/>
      <c r="D28" s="61" t="s">
        <v>140</v>
      </c>
      <c r="E28" s="61" t="s">
        <v>130</v>
      </c>
      <c r="F28" s="85">
        <f>SUM(((371*3200)/1000000)*4058)</f>
        <v>4817.6576000000005</v>
      </c>
      <c r="G28" s="61" t="s">
        <v>131</v>
      </c>
      <c r="H28" s="64" t="s">
        <v>141</v>
      </c>
      <c r="I28" s="83">
        <v>0.63</v>
      </c>
      <c r="J28" s="61" t="s">
        <v>142</v>
      </c>
      <c r="K28" s="84">
        <f t="shared" si="1"/>
        <v>3035.1242880000004</v>
      </c>
      <c r="L28" s="155"/>
      <c r="M28" s="54"/>
      <c r="N28" s="1"/>
      <c r="O28" s="1"/>
      <c r="P28" s="1"/>
      <c r="Q28" s="1"/>
      <c r="R28" s="1"/>
    </row>
    <row r="29" spans="1:18" ht="52">
      <c r="A29" s="155"/>
      <c r="B29" s="158"/>
      <c r="C29" s="140"/>
      <c r="D29" s="61" t="s">
        <v>143</v>
      </c>
      <c r="E29" s="61" t="s">
        <v>130</v>
      </c>
      <c r="F29" s="83">
        <f>SUM('Hardware Manufacturing + Repair'!F4*4058)</f>
        <v>155.82719999999998</v>
      </c>
      <c r="G29" s="61" t="s">
        <v>131</v>
      </c>
      <c r="H29" s="64" t="s">
        <v>144</v>
      </c>
      <c r="I29" s="83">
        <v>0.63</v>
      </c>
      <c r="J29" s="61" t="s">
        <v>142</v>
      </c>
      <c r="K29" s="84">
        <f t="shared" si="1"/>
        <v>98.17113599999999</v>
      </c>
      <c r="L29" s="155"/>
      <c r="M29" s="54"/>
      <c r="N29" s="1"/>
      <c r="O29" s="1"/>
      <c r="P29" s="1"/>
      <c r="Q29" s="1"/>
      <c r="R29" s="1"/>
    </row>
    <row r="30" spans="1:18" ht="52">
      <c r="A30" s="155"/>
      <c r="B30" s="158"/>
      <c r="C30" s="140"/>
      <c r="D30" s="61" t="s">
        <v>145</v>
      </c>
      <c r="E30" s="61" t="s">
        <v>130</v>
      </c>
      <c r="F30" s="83">
        <f>SUM('Hardware Manufacturing + Repair'!F5*4058)</f>
        <v>1947.84</v>
      </c>
      <c r="G30" s="61" t="s">
        <v>131</v>
      </c>
      <c r="H30" s="64" t="s">
        <v>146</v>
      </c>
      <c r="I30" s="83">
        <v>0.63</v>
      </c>
      <c r="J30" s="61" t="s">
        <v>142</v>
      </c>
      <c r="K30" s="84">
        <f t="shared" si="1"/>
        <v>1227.1391999999998</v>
      </c>
      <c r="L30" s="155"/>
      <c r="M30" s="54"/>
      <c r="N30" s="1"/>
      <c r="O30" s="1"/>
      <c r="P30" s="1"/>
      <c r="Q30" s="1"/>
      <c r="R30" s="1"/>
    </row>
    <row r="31" spans="1:18" ht="52">
      <c r="A31" s="155"/>
      <c r="B31" s="159"/>
      <c r="C31" s="160"/>
      <c r="D31" s="71" t="s">
        <v>147</v>
      </c>
      <c r="E31" s="71" t="s">
        <v>130</v>
      </c>
      <c r="F31" s="86">
        <f>SUM('Hardware Manufacturing + Repair'!F6*4058)</f>
        <v>389.56799999999998</v>
      </c>
      <c r="G31" s="71" t="s">
        <v>131</v>
      </c>
      <c r="H31" s="76" t="s">
        <v>148</v>
      </c>
      <c r="I31" s="86">
        <v>0.63</v>
      </c>
      <c r="J31" s="71" t="s">
        <v>142</v>
      </c>
      <c r="K31" s="87">
        <f t="shared" si="1"/>
        <v>245.42784</v>
      </c>
      <c r="L31" s="155"/>
      <c r="M31" s="54"/>
      <c r="N31" s="1"/>
      <c r="O31" s="1"/>
      <c r="P31" s="1"/>
      <c r="Q31" s="1"/>
      <c r="R31" s="1"/>
    </row>
    <row r="32" spans="1:18" ht="104">
      <c r="A32" s="155"/>
      <c r="B32" s="157" t="s">
        <v>24</v>
      </c>
      <c r="C32" s="149" t="s">
        <v>81</v>
      </c>
      <c r="D32" s="59" t="s">
        <v>82</v>
      </c>
      <c r="E32" s="62" t="s">
        <v>83</v>
      </c>
      <c r="F32" s="62">
        <f>SUM(60*2*'Journey examples and averages'!V38*0.05)</f>
        <v>634.62857142857149</v>
      </c>
      <c r="G32" s="62" t="s">
        <v>84</v>
      </c>
      <c r="H32" s="78" t="s">
        <v>149</v>
      </c>
      <c r="I32" s="61">
        <v>0</v>
      </c>
      <c r="J32" s="61" t="s">
        <v>86</v>
      </c>
      <c r="K32" s="63">
        <f t="shared" si="1"/>
        <v>0</v>
      </c>
      <c r="L32" s="163">
        <f>SUM(K32:K34)</f>
        <v>1219.686305142857</v>
      </c>
      <c r="M32" s="54"/>
      <c r="N32" s="1"/>
      <c r="O32" s="1"/>
      <c r="P32" s="1"/>
      <c r="Q32" s="1"/>
      <c r="R32" s="1"/>
    </row>
    <row r="33" spans="1:18" ht="104">
      <c r="A33" s="155"/>
      <c r="B33" s="158"/>
      <c r="C33" s="140"/>
      <c r="D33" s="60" t="s">
        <v>87</v>
      </c>
      <c r="E33" s="61" t="s">
        <v>83</v>
      </c>
      <c r="F33" s="61">
        <f>SUM(60*2*'Journey examples and averages'!V38*0.05)</f>
        <v>634.62857142857149</v>
      </c>
      <c r="G33" s="61" t="s">
        <v>84</v>
      </c>
      <c r="H33" s="64" t="s">
        <v>150</v>
      </c>
      <c r="I33" s="61">
        <v>8.319E-2</v>
      </c>
      <c r="J33" s="61" t="s">
        <v>89</v>
      </c>
      <c r="K33" s="65">
        <f t="shared" si="1"/>
        <v>52.794750857142866</v>
      </c>
      <c r="L33" s="155"/>
      <c r="M33" s="54"/>
      <c r="N33" s="1"/>
      <c r="O33" s="1"/>
      <c r="P33" s="1"/>
      <c r="Q33" s="1"/>
      <c r="R33" s="1"/>
    </row>
    <row r="34" spans="1:18" ht="104">
      <c r="A34" s="155"/>
      <c r="B34" s="159"/>
      <c r="C34" s="160"/>
      <c r="D34" s="75" t="s">
        <v>90</v>
      </c>
      <c r="E34" s="71" t="s">
        <v>91</v>
      </c>
      <c r="F34" s="71">
        <f>SUM(60*(2*'Journey examples and averages'!V38*0.9))</f>
        <v>11423.314285714285</v>
      </c>
      <c r="G34" s="71" t="s">
        <v>92</v>
      </c>
      <c r="H34" s="76" t="s">
        <v>151</v>
      </c>
      <c r="I34" s="71">
        <v>0.10215</v>
      </c>
      <c r="J34" s="71" t="s">
        <v>94</v>
      </c>
      <c r="K34" s="77">
        <f t="shared" si="1"/>
        <v>1166.8915542857142</v>
      </c>
      <c r="L34" s="155"/>
      <c r="M34" s="54"/>
      <c r="N34" s="1"/>
      <c r="O34" s="1"/>
      <c r="P34" s="1"/>
      <c r="Q34" s="1"/>
      <c r="R34" s="1"/>
    </row>
    <row r="35" spans="1:18" ht="78">
      <c r="A35" s="155"/>
      <c r="B35" s="166" t="s">
        <v>26</v>
      </c>
      <c r="C35" s="149" t="s">
        <v>81</v>
      </c>
      <c r="D35" s="59" t="s">
        <v>82</v>
      </c>
      <c r="E35" s="62" t="s">
        <v>83</v>
      </c>
      <c r="F35" s="61">
        <f>SUM((6700*0.79*'Journey examples and averages'!P38*2)+(6700*0.12*'Journey examples and averages'!P39*2)+(6700*0.09*'Journey examples and averages'!P40*2))</f>
        <v>15308.542857142858</v>
      </c>
      <c r="G35" s="62" t="s">
        <v>84</v>
      </c>
      <c r="H35" s="64" t="s">
        <v>152</v>
      </c>
      <c r="I35" s="61">
        <v>0</v>
      </c>
      <c r="J35" s="61" t="s">
        <v>86</v>
      </c>
      <c r="K35" s="66">
        <f t="shared" si="1"/>
        <v>0</v>
      </c>
      <c r="L35" s="163">
        <f>SUM(K35:K46)</f>
        <v>44122.497952394289</v>
      </c>
      <c r="M35" s="54"/>
      <c r="N35" s="1"/>
      <c r="O35" s="1"/>
      <c r="P35" s="1"/>
      <c r="Q35" s="1"/>
      <c r="R35" s="1"/>
    </row>
    <row r="36" spans="1:18" ht="78">
      <c r="A36" s="155"/>
      <c r="B36" s="158"/>
      <c r="C36" s="140"/>
      <c r="D36" s="60" t="s">
        <v>87</v>
      </c>
      <c r="E36" s="61" t="s">
        <v>83</v>
      </c>
      <c r="F36" s="61">
        <f>SUM((6700*0.79*'Journey examples and averages'!Q38*2)+(6700*0.12*'Journey examples and averages'!Q39*2)+(6700*0.09*'Journey examples and averages'!Q40*2))</f>
        <v>225474.14285714287</v>
      </c>
      <c r="G36" s="61" t="s">
        <v>84</v>
      </c>
      <c r="H36" s="64" t="s">
        <v>153</v>
      </c>
      <c r="I36" s="61">
        <v>8.319E-2</v>
      </c>
      <c r="J36" s="61" t="s">
        <v>89</v>
      </c>
      <c r="K36" s="66">
        <f t="shared" si="1"/>
        <v>18757.193944285715</v>
      </c>
      <c r="L36" s="155"/>
      <c r="M36" s="54"/>
      <c r="N36" s="1"/>
      <c r="O36" s="1"/>
      <c r="P36" s="1"/>
      <c r="Q36" s="1"/>
      <c r="R36" s="1"/>
    </row>
    <row r="37" spans="1:18" ht="78">
      <c r="A37" s="155"/>
      <c r="B37" s="158"/>
      <c r="C37" s="140"/>
      <c r="D37" s="60" t="s">
        <v>90</v>
      </c>
      <c r="E37" s="61" t="s">
        <v>91</v>
      </c>
      <c r="F37" s="61">
        <f>SUM((6700*((0.79*'Journey examples and averages'!R38*2)+(0.12*'Journey examples and averages'!R39*2)+(0.09*'Journey examples and averages'!R40*2))))</f>
        <v>199870.57142857145</v>
      </c>
      <c r="G37" s="61" t="s">
        <v>92</v>
      </c>
      <c r="H37" s="64" t="s">
        <v>154</v>
      </c>
      <c r="I37" s="61">
        <v>0.10215</v>
      </c>
      <c r="J37" s="61" t="s">
        <v>94</v>
      </c>
      <c r="K37" s="66">
        <f t="shared" si="1"/>
        <v>20416.778871428574</v>
      </c>
      <c r="L37" s="155"/>
      <c r="M37" s="54"/>
      <c r="N37" s="1"/>
      <c r="O37" s="1"/>
      <c r="P37" s="1"/>
      <c r="Q37" s="1"/>
      <c r="R37" s="1"/>
    </row>
    <row r="38" spans="1:18" ht="104">
      <c r="A38" s="155"/>
      <c r="B38" s="158"/>
      <c r="C38" s="60" t="s">
        <v>155</v>
      </c>
      <c r="D38" s="60" t="s">
        <v>96</v>
      </c>
      <c r="E38" s="61" t="s">
        <v>83</v>
      </c>
      <c r="F38" s="61">
        <f>SUM(6*14*2*'Journey examples and averages'!V38)</f>
        <v>17769.599999999999</v>
      </c>
      <c r="G38" s="61" t="s">
        <v>84</v>
      </c>
      <c r="H38" s="64" t="s">
        <v>156</v>
      </c>
      <c r="I38" s="61">
        <v>0.20194599999999999</v>
      </c>
      <c r="J38" s="61" t="s">
        <v>98</v>
      </c>
      <c r="K38" s="66">
        <f t="shared" si="1"/>
        <v>3588.4996415999994</v>
      </c>
      <c r="L38" s="155"/>
      <c r="M38" s="54"/>
      <c r="N38" s="1"/>
      <c r="O38" s="1"/>
      <c r="P38" s="1"/>
      <c r="Q38" s="1"/>
      <c r="R38" s="1"/>
    </row>
    <row r="39" spans="1:18" ht="78">
      <c r="A39" s="155"/>
      <c r="B39" s="158"/>
      <c r="C39" s="150" t="s">
        <v>128</v>
      </c>
      <c r="D39" s="60" t="s">
        <v>129</v>
      </c>
      <c r="E39" s="61" t="s">
        <v>130</v>
      </c>
      <c r="F39" s="61">
        <f>SUM(((371*154)/1000000)*11183)</f>
        <v>638.92952200000002</v>
      </c>
      <c r="G39" s="61" t="s">
        <v>131</v>
      </c>
      <c r="H39" s="61" t="s">
        <v>157</v>
      </c>
      <c r="I39" s="61">
        <v>0.01</v>
      </c>
      <c r="J39" s="61" t="s">
        <v>133</v>
      </c>
      <c r="K39" s="66">
        <f t="shared" si="1"/>
        <v>6.3892952200000002</v>
      </c>
      <c r="L39" s="155"/>
      <c r="M39" s="54"/>
      <c r="N39" s="1"/>
      <c r="O39" s="1"/>
      <c r="P39" s="1"/>
      <c r="Q39" s="1"/>
      <c r="R39" s="1"/>
    </row>
    <row r="40" spans="1:18" ht="78">
      <c r="A40" s="155"/>
      <c r="B40" s="158"/>
      <c r="C40" s="140"/>
      <c r="D40" s="60" t="s">
        <v>134</v>
      </c>
      <c r="E40" s="61" t="s">
        <v>130</v>
      </c>
      <c r="F40" s="61">
        <f>SUM('Hardware Manufacturing + Repair'!F8*11183)</f>
        <v>899.11320000000001</v>
      </c>
      <c r="G40" s="61" t="s">
        <v>131</v>
      </c>
      <c r="H40" s="64" t="s">
        <v>158</v>
      </c>
      <c r="I40" s="61">
        <v>0.01</v>
      </c>
      <c r="J40" s="61" t="s">
        <v>133</v>
      </c>
      <c r="K40" s="66">
        <f t="shared" si="1"/>
        <v>8.9911320000000003</v>
      </c>
      <c r="L40" s="155"/>
      <c r="M40" s="1"/>
      <c r="N40" s="1"/>
      <c r="O40" s="1"/>
      <c r="P40" s="1"/>
      <c r="Q40" s="1"/>
      <c r="R40" s="1"/>
    </row>
    <row r="41" spans="1:18" ht="78">
      <c r="A41" s="155"/>
      <c r="B41" s="158"/>
      <c r="C41" s="140"/>
      <c r="D41" s="60" t="s">
        <v>136</v>
      </c>
      <c r="E41" s="61" t="s">
        <v>130</v>
      </c>
      <c r="F41" s="61">
        <f>SUM('Hardware Manufacturing + Repair'!F9*11183)</f>
        <v>1913.97045</v>
      </c>
      <c r="G41" s="61" t="s">
        <v>131</v>
      </c>
      <c r="H41" s="61" t="s">
        <v>159</v>
      </c>
      <c r="I41" s="61">
        <v>0.01</v>
      </c>
      <c r="J41" s="61" t="s">
        <v>133</v>
      </c>
      <c r="K41" s="66">
        <f t="shared" si="1"/>
        <v>19.139704500000001</v>
      </c>
      <c r="L41" s="155"/>
    </row>
    <row r="42" spans="1:18" ht="78">
      <c r="A42" s="155"/>
      <c r="B42" s="158"/>
      <c r="C42" s="140"/>
      <c r="D42" s="60" t="s">
        <v>138</v>
      </c>
      <c r="E42" s="61" t="s">
        <v>130</v>
      </c>
      <c r="F42" s="61">
        <f>SUM('Hardware Manufacturing + Repair'!F10*11183)</f>
        <v>2247.7830000000004</v>
      </c>
      <c r="G42" s="61" t="s">
        <v>131</v>
      </c>
      <c r="H42" s="61" t="s">
        <v>160</v>
      </c>
      <c r="I42" s="61">
        <v>0.01</v>
      </c>
      <c r="J42" s="61" t="s">
        <v>133</v>
      </c>
      <c r="K42" s="66">
        <f t="shared" si="1"/>
        <v>22.477830000000004</v>
      </c>
      <c r="L42" s="155"/>
    </row>
    <row r="43" spans="1:18" ht="52">
      <c r="A43" s="155"/>
      <c r="B43" s="158"/>
      <c r="C43" s="140"/>
      <c r="D43" s="60" t="s">
        <v>140</v>
      </c>
      <c r="E43" s="61" t="s">
        <v>130</v>
      </c>
      <c r="F43" s="61">
        <f>SUM(((371*154)/1000000)*4058)</f>
        <v>231.849772</v>
      </c>
      <c r="G43" s="61" t="s">
        <v>131</v>
      </c>
      <c r="H43" s="61" t="s">
        <v>161</v>
      </c>
      <c r="I43" s="61">
        <v>0.63</v>
      </c>
      <c r="J43" s="61" t="s">
        <v>142</v>
      </c>
      <c r="K43" s="66">
        <f t="shared" si="1"/>
        <v>146.06535636000001</v>
      </c>
      <c r="L43" s="155"/>
    </row>
    <row r="44" spans="1:18" ht="52">
      <c r="A44" s="155"/>
      <c r="B44" s="158"/>
      <c r="C44" s="140"/>
      <c r="D44" s="60" t="s">
        <v>143</v>
      </c>
      <c r="E44" s="61" t="s">
        <v>130</v>
      </c>
      <c r="F44" s="61">
        <f>SUM('Hardware Manufacturing + Repair'!F8*4058)</f>
        <v>326.26319999999998</v>
      </c>
      <c r="G44" s="61" t="s">
        <v>131</v>
      </c>
      <c r="H44" s="61" t="s">
        <v>162</v>
      </c>
      <c r="I44" s="61">
        <v>0.63</v>
      </c>
      <c r="J44" s="61" t="s">
        <v>142</v>
      </c>
      <c r="K44" s="66">
        <f t="shared" si="1"/>
        <v>205.545816</v>
      </c>
      <c r="L44" s="155"/>
    </row>
    <row r="45" spans="1:18" ht="52">
      <c r="A45" s="155"/>
      <c r="B45" s="158"/>
      <c r="C45" s="140"/>
      <c r="D45" s="60" t="s">
        <v>145</v>
      </c>
      <c r="E45" s="61" t="s">
        <v>130</v>
      </c>
      <c r="F45" s="61">
        <f>SUM('Hardware Manufacturing + Repair'!F9*4058)</f>
        <v>694.52670000000001</v>
      </c>
      <c r="G45" s="61" t="s">
        <v>131</v>
      </c>
      <c r="H45" s="61" t="s">
        <v>163</v>
      </c>
      <c r="I45" s="61">
        <v>0.63</v>
      </c>
      <c r="J45" s="61" t="s">
        <v>142</v>
      </c>
      <c r="K45" s="66">
        <f t="shared" si="1"/>
        <v>437.55182100000002</v>
      </c>
      <c r="L45" s="155"/>
    </row>
    <row r="46" spans="1:18" ht="52">
      <c r="A46" s="156"/>
      <c r="B46" s="159"/>
      <c r="C46" s="160"/>
      <c r="D46" s="75" t="s">
        <v>147</v>
      </c>
      <c r="E46" s="71" t="s">
        <v>130</v>
      </c>
      <c r="F46" s="71">
        <f>SUM('Hardware Manufacturing + Repair'!F10*4058)</f>
        <v>815.65800000000002</v>
      </c>
      <c r="G46" s="71" t="s">
        <v>131</v>
      </c>
      <c r="H46" s="71" t="s">
        <v>164</v>
      </c>
      <c r="I46" s="71">
        <v>0.63</v>
      </c>
      <c r="J46" s="71" t="s">
        <v>142</v>
      </c>
      <c r="K46" s="66">
        <f t="shared" si="1"/>
        <v>513.86454000000003</v>
      </c>
      <c r="L46" s="156"/>
    </row>
    <row r="47" spans="1:18" ht="78">
      <c r="A47" s="167" t="s">
        <v>165</v>
      </c>
      <c r="B47" s="168" t="s">
        <v>166</v>
      </c>
      <c r="C47" s="149" t="s">
        <v>81</v>
      </c>
      <c r="D47" s="59" t="s">
        <v>82</v>
      </c>
      <c r="E47" s="62" t="s">
        <v>83</v>
      </c>
      <c r="F47" s="62">
        <f>SUM((936*0.79*'Journey examples and averages'!P38*2*2)+(936*0.12*'Journey examples and averages'!P39*2*2)+(936*0.09*'Journey examples and averages'!P40*2*2))</f>
        <v>4277.2525714285721</v>
      </c>
      <c r="G47" s="62" t="s">
        <v>84</v>
      </c>
      <c r="H47" s="64" t="s">
        <v>167</v>
      </c>
      <c r="I47" s="61">
        <v>0</v>
      </c>
      <c r="J47" s="61" t="s">
        <v>86</v>
      </c>
      <c r="K47" s="88">
        <f t="shared" si="1"/>
        <v>0</v>
      </c>
      <c r="L47" s="170">
        <f>SUM(K47:K49)</f>
        <v>10945.324941942858</v>
      </c>
    </row>
    <row r="48" spans="1:18" ht="78">
      <c r="A48" s="158"/>
      <c r="B48" s="158"/>
      <c r="C48" s="140"/>
      <c r="D48" s="60" t="s">
        <v>87</v>
      </c>
      <c r="E48" s="61" t="s">
        <v>83</v>
      </c>
      <c r="F48" s="61">
        <f>SUM((936*0.79*'Journey examples and averages'!Q38*2*2)+(936*0.12*'Journey examples and averages'!Q39*2*2)+(936*0.09*'Journey examples and averages'!Q40*2*2))</f>
        <v>62998.148571428581</v>
      </c>
      <c r="G48" s="61" t="s">
        <v>84</v>
      </c>
      <c r="H48" s="64" t="s">
        <v>168</v>
      </c>
      <c r="I48" s="61">
        <v>8.319E-2</v>
      </c>
      <c r="J48" s="61" t="s">
        <v>89</v>
      </c>
      <c r="K48" s="89">
        <f t="shared" si="1"/>
        <v>5240.8159796571435</v>
      </c>
      <c r="L48" s="155"/>
    </row>
    <row r="49" spans="1:12" ht="78">
      <c r="A49" s="159"/>
      <c r="B49" s="159"/>
      <c r="C49" s="160"/>
      <c r="D49" s="75" t="s">
        <v>90</v>
      </c>
      <c r="E49" s="71" t="s">
        <v>91</v>
      </c>
      <c r="F49" s="71">
        <f>SUM((936*((0.79*'Journey examples and averages'!R38*2*2)+(0.12*'Journey examples and averages'!R39*2*2)+(0.09*'Journey examples and averages'!R40*2*2))))</f>
        <v>55844.434285714291</v>
      </c>
      <c r="G49" s="71" t="s">
        <v>92</v>
      </c>
      <c r="H49" s="76" t="s">
        <v>169</v>
      </c>
      <c r="I49" s="71">
        <v>0.10215</v>
      </c>
      <c r="J49" s="71" t="s">
        <v>94</v>
      </c>
      <c r="K49" s="90">
        <f t="shared" si="1"/>
        <v>5704.5089622857149</v>
      </c>
      <c r="L49" s="156"/>
    </row>
    <row r="50" spans="1:12">
      <c r="A50" s="54"/>
      <c r="B50" s="54"/>
      <c r="C50" s="54"/>
      <c r="D50" s="73"/>
      <c r="E50" s="73"/>
      <c r="F50" s="73"/>
      <c r="G50" s="73"/>
      <c r="H50" s="61"/>
      <c r="I50" s="61"/>
      <c r="J50" s="61"/>
      <c r="K50" s="61"/>
      <c r="L50" s="61"/>
    </row>
    <row r="51" spans="1:12">
      <c r="A51" s="54"/>
      <c r="B51" s="54"/>
      <c r="C51" s="54"/>
      <c r="D51" s="73"/>
      <c r="E51" s="73"/>
      <c r="F51" s="73"/>
      <c r="G51" s="73"/>
      <c r="H51" s="61"/>
      <c r="I51" s="61"/>
      <c r="J51" s="61"/>
      <c r="K51" s="61"/>
      <c r="L51" s="61"/>
    </row>
    <row r="52" spans="1:12">
      <c r="A52" s="54"/>
      <c r="B52" s="54"/>
      <c r="C52" s="54"/>
      <c r="D52" s="73"/>
      <c r="E52" s="73"/>
      <c r="F52" s="73"/>
      <c r="G52" s="73"/>
      <c r="H52" s="61"/>
      <c r="I52" s="61"/>
      <c r="J52" s="61"/>
      <c r="K52" s="61"/>
      <c r="L52" s="61"/>
    </row>
    <row r="53" spans="1:12">
      <c r="A53" s="54"/>
      <c r="B53" s="54"/>
      <c r="C53" s="54"/>
      <c r="D53" s="73"/>
      <c r="E53" s="73"/>
      <c r="F53" s="73"/>
      <c r="G53" s="73"/>
      <c r="H53" s="61"/>
      <c r="I53" s="61"/>
      <c r="J53" s="61"/>
      <c r="K53" s="61"/>
      <c r="L53" s="61"/>
    </row>
    <row r="54" spans="1:12">
      <c r="A54" s="54"/>
      <c r="B54" s="54"/>
      <c r="C54" s="54"/>
      <c r="D54" s="73"/>
      <c r="E54" s="73"/>
      <c r="F54" s="73"/>
      <c r="G54" s="73"/>
      <c r="H54" s="74"/>
      <c r="I54" s="74"/>
      <c r="J54" s="74"/>
      <c r="K54" s="74"/>
      <c r="L54" s="74"/>
    </row>
    <row r="55" spans="1:12">
      <c r="A55" s="1"/>
      <c r="B55" s="1"/>
      <c r="C55" s="1"/>
    </row>
    <row r="56" spans="1:12">
      <c r="A56" s="1"/>
      <c r="B56" s="1"/>
      <c r="C56" s="1"/>
    </row>
    <row r="57" spans="1:12">
      <c r="A57" s="1"/>
      <c r="B57" s="1"/>
      <c r="C57" s="1"/>
    </row>
    <row r="58" spans="1:12">
      <c r="A58" s="1"/>
      <c r="B58" s="1"/>
      <c r="C58" s="1"/>
    </row>
  </sheetData>
  <mergeCells count="34">
    <mergeCell ref="L11:L14"/>
    <mergeCell ref="L15:L17"/>
    <mergeCell ref="L18:L23"/>
    <mergeCell ref="L24:L31"/>
    <mergeCell ref="L32:L34"/>
    <mergeCell ref="L35:L46"/>
    <mergeCell ref="L47:L49"/>
    <mergeCell ref="A1:L1"/>
    <mergeCell ref="B3:B6"/>
    <mergeCell ref="C3:C5"/>
    <mergeCell ref="L3:L6"/>
    <mergeCell ref="B7:B10"/>
    <mergeCell ref="C7:C9"/>
    <mergeCell ref="L7:L10"/>
    <mergeCell ref="C18:C20"/>
    <mergeCell ref="C21:C23"/>
    <mergeCell ref="B18:B23"/>
    <mergeCell ref="B24:B31"/>
    <mergeCell ref="C24:C31"/>
    <mergeCell ref="B32:B34"/>
    <mergeCell ref="C32:C34"/>
    <mergeCell ref="B35:B46"/>
    <mergeCell ref="C35:C37"/>
    <mergeCell ref="C39:C46"/>
    <mergeCell ref="A47:A49"/>
    <mergeCell ref="B47:B49"/>
    <mergeCell ref="C47:C49"/>
    <mergeCell ref="A24:A46"/>
    <mergeCell ref="A3:A10"/>
    <mergeCell ref="A11:A23"/>
    <mergeCell ref="B11:B14"/>
    <mergeCell ref="C11:C13"/>
    <mergeCell ref="B15:B17"/>
    <mergeCell ref="C15:C17"/>
  </mergeCells>
  <hyperlinks>
    <hyperlink ref="H3" location="'Journey examples and averages'!N38:S41" display="3619 participants (79% rural, 12% peri-urban, 9% urban). Each participant makes one return journey to their TTC. Using average TTC journey example." xr:uid="{00000000-0004-0000-0200-000000000000}"/>
    <hyperlink ref="H4" location="'Journey examples and averages'!N38:S41" display="3619 participants (79% rural, 12% peri-urban, 9% urban). Each participant makes one return journey to their TTC. Using average TTC journey example." xr:uid="{00000000-0004-0000-0200-000001000000}"/>
    <hyperlink ref="H5" location="'Journey examples and averages'!N38:S41" display="3619 participants (79% rural, 12% peri-urban, 9% urban). Each participant makes one return journey to their TTC. Using average TTC journey example." xr:uid="{00000000-0004-0000-0200-000002000000}"/>
    <hyperlink ref="H6" location="'Journey examples and averages'!U38:V38" display="8 invigilators (one for each TTC) make 4 return journeys from Kigali (using average journey distance). Each invigilator also makes eight return journeys from their hotel across all weekends (using average journey distance)." xr:uid="{00000000-0004-0000-0200-000003000000}"/>
    <hyperlink ref="H7" location="'Journey examples and averages'!N38:S41" display="3059 participants (79% rural, 12% peri-urban, 9% urban). Each participant makes one return journey to their TTC. Using average TTC journey example." xr:uid="{00000000-0004-0000-0200-000004000000}"/>
    <hyperlink ref="H8" location="'Journey examples and averages'!N38:S41" display="3059 participants (79% rural, 12% peri-urban, 9% urban). Each participant makes one return journey to their TTC. Using average TTC journey example." xr:uid="{00000000-0004-0000-0200-000005000000}"/>
    <hyperlink ref="H9" location="'Journey examples and averages'!N38:S41" display="3059 participants (79% rural, 12% peri-urban, 9% urban). Each participant makes one return journey to their TTC. Using average TTC journey example." xr:uid="{00000000-0004-0000-0200-000006000000}"/>
    <hyperlink ref="H10" location="'Journey examples and averages'!U38:V38" display="6 invigilators (one for each TTC) make 4 return journeys from Kigali (using average journey distance). Each invigilator also makes eight return journeys from their hotel across all weekends (using average journey distance)." xr:uid="{00000000-0004-0000-0200-000007000000}"/>
    <hyperlink ref="H11" location="'Journey examples and averages'!N38:S41" display="60 participants (79% rural, 12% peri-urban, 9% urban). Each participant makes three return journeys to their TTC. Using average TTC journey example." xr:uid="{00000000-0004-0000-0200-000008000000}"/>
    <hyperlink ref="H12" location="'Journey examples and averages'!N38:S41" display="60 participants (79% rural, 12% peri-urban, 9% urban). Each participant makes three return journeys to their TTC. Using average TTC journey example." xr:uid="{00000000-0004-0000-0200-000009000000}"/>
    <hyperlink ref="H13" location="'Journey examples and averages'!N38:S41" display="60 participants (79% rural, 12% peri-urban, 9% urban). Each participant makes three return journeys to their TTC. Using average TTC journey example." xr:uid="{00000000-0004-0000-0200-00000A000000}"/>
    <hyperlink ref="H14" location="'Journey examples and averages'!U38:V38" display="8 SETTs or consultants (one for each TTC) make 3 return journeys from Kigali (using average journey distance)." xr:uid="{00000000-0004-0000-0200-00000B000000}"/>
    <hyperlink ref="H15" location="'Journey examples and averages'!N38:S41" display="57 participants in 8 districts (79% rural, 12% peri-urban, 9% urban). Each participant makes one return journeys to their TTC. Using average TTC journey example." xr:uid="{00000000-0004-0000-0200-00000C000000}"/>
    <hyperlink ref="H16" location="'Journey examples and averages'!N38:S41" display="57 participants in 8 districts (79% rural, 12% peri-urban, 9% urban). Each participant makes one return journeys to their TTC. Using average TTC journey example." xr:uid="{00000000-0004-0000-0200-00000D000000}"/>
    <hyperlink ref="H17" location="'Journey examples and averages'!N38:S41" display="57 participants in 8 districts (79% rural, 12% peri-urban, 9% urban). Each participant makes one return journeys to their TTC. Using average TTC journey example." xr:uid="{00000000-0004-0000-0200-00000E000000}"/>
    <hyperlink ref="H18" location="'Journey examples and averages'!N38:S41" display="6700 participants total in 14 districts (79% rural, 12% peri-urban, 9% urban). Each participant makes one return journey to their TTC. Using average TTC journey example." xr:uid="{00000000-0004-0000-0200-00000F000000}"/>
    <hyperlink ref="H19" location="'Journey examples and averages'!N38:S41" display="6700 participants total in 14 districts (79% rural, 12% peri-urban, 9% urban). Each participant makes one return journeys to their TTC. Using average TTC journey example." xr:uid="{00000000-0004-0000-0200-000010000000}"/>
    <hyperlink ref="H20" location="'Journey examples and averages'!N38:S41" display="6700 participants total in 14 districts (79% rural, 12% peri-urban, 9% urban). Each participant makes one return journeys to their TTC. Using average TTC journey example." xr:uid="{00000000-0004-0000-0200-000011000000}"/>
    <hyperlink ref="H21" location="'Journey examples and averages'!U38:V38" display="8 SETTs make three return journeys via bus to Kigali before / after training across the whole programme. Using average distance between each TTC and Kigali for a proxy of one-way travel length." xr:uid="{00000000-0004-0000-0200-000012000000}"/>
    <hyperlink ref="H22" location="'Journey examples and averages'!U38:V38" display="In each district (8 in year 1, 14 in year 2), 16 external and senior consultants make two return journeys across the first two years from Kigali, with 8 consultants making a return journey to a TTC in the final year (using average journey distance).  8 external consultants consultants make 20 return journeys from their hotel across the programme, 8 senior consultants and 60 trainers (2 vehicles per district) make 30 return journeys from their hotel across the whole programme (using average journey distance)." xr:uid="{00000000-0004-0000-0200-000013000000}"/>
    <hyperlink ref="J23" r:id="rId1" xr:uid="{00000000-0004-0000-0200-000014000000}"/>
    <hyperlink ref="H24" r:id="rId2" xr:uid="{00000000-0004-0000-0200-000015000000}"/>
    <hyperlink ref="H25" r:id="rId3" xr:uid="{00000000-0004-0000-0200-000016000000}"/>
    <hyperlink ref="H26" r:id="rId4" xr:uid="{00000000-0004-0000-0200-000017000000}"/>
    <hyperlink ref="H27" r:id="rId5" xr:uid="{00000000-0004-0000-0200-000018000000}"/>
    <hyperlink ref="H28" r:id="rId6" xr:uid="{00000000-0004-0000-0200-000019000000}"/>
    <hyperlink ref="H29" r:id="rId7" xr:uid="{00000000-0004-0000-0200-00001A000000}"/>
    <hyperlink ref="H30" r:id="rId8" xr:uid="{00000000-0004-0000-0200-00001B000000}"/>
    <hyperlink ref="H31" r:id="rId9" xr:uid="{00000000-0004-0000-0200-00001C000000}"/>
    <hyperlink ref="H32" location="'Journey examples and averages'!U38:V38" display="60 participants make one return journey to Kigali, using average distance between Kigali and TTCs as a proxy. Estimated 5% of distance walking, 5% of distance by moto-taxi, 90% distance by bus." xr:uid="{00000000-0004-0000-0200-00001D000000}"/>
    <hyperlink ref="H33" location="'Journey examples and averages'!U38:V38" display="60 participants make one return journey to Kigali, using average distance between Kigali and TTCs as a proxy. Estimated 5% of distance walking, 5% of distance by moto-taxi, 90% distance by bus." xr:uid="{00000000-0004-0000-0200-00001E000000}"/>
    <hyperlink ref="H34" location="'Journey examples and averages'!U38:V38" display="60 participants make one return journey to Kigali, using average distance between Kigali and TTCs as a proxy. Estimated 5% of distance walking, 5% of distance by moto-taxi, 90% distance by bus." xr:uid="{00000000-0004-0000-0200-00001F000000}"/>
    <hyperlink ref="H35" location="'Journey examples and averages'!N38:S41" display="6700 participants (79% rural, 12% peri-urban, 9% rural) make one return journey to their local TTC to return hardware. Using average TTC journey example." xr:uid="{00000000-0004-0000-0200-000020000000}"/>
    <hyperlink ref="H36" location="'Journey examples and averages'!N38:S41" display="6700 participants (79% rural, 12% peri-urban, 9% rural) make one return journey to their local TTC to return hardware. Using average TTC journey example." xr:uid="{00000000-0004-0000-0200-000021000000}"/>
    <hyperlink ref="H37" location="'Journey examples and averages'!N38:S41" display="6700 participants (79% rural, 12% peri-urban, 9% rural) make one return journey to their local TTC to return hardware. Using average TTC journey example." xr:uid="{00000000-0004-0000-0200-000022000000}"/>
    <hyperlink ref="H38" location="'Journey examples and averages'!U38:V38" display="Support staff make 6 return journeys to each TTC (one staff member per TTC, 14 total) across the whole programme to collect tablets and return them to Kigali. Using average distance between Kigali and TTC." xr:uid="{00000000-0004-0000-0200-000023000000}"/>
    <hyperlink ref="H40" r:id="rId10" xr:uid="{00000000-0004-0000-0200-000024000000}"/>
    <hyperlink ref="H47" location="'Journey examples and averages'!N38:S41" display="936 participants (79% rural, 12% peri-urban, 9% rural) make two return journeys to their local TTC to attend training. Using average TTC journey example." xr:uid="{00000000-0004-0000-0200-000025000000}"/>
    <hyperlink ref="H48" location="'Journey examples and averages'!N38:S41" display="936 participants (79% rural, 12% peri-urban, 9% rural) make two return journeys to their local TTC to attend training. Using average TTC journey example." xr:uid="{00000000-0004-0000-0200-000026000000}"/>
    <hyperlink ref="H49" location="'Journey examples and averages'!N38:S41" display="936 participants (79% rural, 12% peri-urban, 9% rural) make two return journeys to their local TTC to attend training. Using average TTC journey example." xr:uid="{00000000-0004-0000-0200-000027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R25"/>
  <sheetViews>
    <sheetView workbookViewId="0">
      <pane ySplit="2" topLeftCell="A3" activePane="bottomLeft" state="frozen"/>
      <selection pane="bottomLeft" activeCell="B3" sqref="B3:B4"/>
    </sheetView>
  </sheetViews>
  <sheetFormatPr baseColWidth="10" defaultColWidth="12.6640625" defaultRowHeight="13"/>
  <cols>
    <col min="1" max="1" width="21.33203125" customWidth="1"/>
    <col min="2" max="2" width="22.1640625" customWidth="1"/>
    <col min="3" max="3" width="14.83203125" customWidth="1"/>
    <col min="4" max="4" width="42.6640625" customWidth="1"/>
    <col min="5" max="5" width="31" customWidth="1"/>
    <col min="6" max="7" width="24.33203125" customWidth="1"/>
    <col min="8" max="12" width="24.6640625" customWidth="1"/>
  </cols>
  <sheetData>
    <row r="1" spans="1:18" ht="27" customHeight="1">
      <c r="A1" s="151" t="s">
        <v>7</v>
      </c>
      <c r="B1" s="152"/>
      <c r="C1" s="152"/>
      <c r="D1" s="152"/>
      <c r="E1" s="152"/>
      <c r="F1" s="152"/>
      <c r="G1" s="152"/>
      <c r="H1" s="152"/>
      <c r="I1" s="152"/>
      <c r="J1" s="152"/>
      <c r="K1" s="152"/>
      <c r="L1" s="153"/>
      <c r="M1" s="54"/>
      <c r="N1" s="1"/>
      <c r="O1" s="1"/>
      <c r="P1" s="1"/>
      <c r="Q1" s="1"/>
      <c r="R1" s="1"/>
    </row>
    <row r="2" spans="1:18" ht="60">
      <c r="A2" s="56" t="s">
        <v>33</v>
      </c>
      <c r="B2" s="57" t="s">
        <v>34</v>
      </c>
      <c r="C2" s="57" t="s">
        <v>35</v>
      </c>
      <c r="D2" s="57" t="s">
        <v>36</v>
      </c>
      <c r="E2" s="57" t="s">
        <v>37</v>
      </c>
      <c r="F2" s="57" t="s">
        <v>38</v>
      </c>
      <c r="G2" s="57" t="s">
        <v>39</v>
      </c>
      <c r="H2" s="57" t="s">
        <v>40</v>
      </c>
      <c r="I2" s="57" t="s">
        <v>41</v>
      </c>
      <c r="J2" s="57" t="s">
        <v>77</v>
      </c>
      <c r="K2" s="58" t="s">
        <v>43</v>
      </c>
      <c r="L2" s="58" t="s">
        <v>44</v>
      </c>
      <c r="M2" s="54"/>
      <c r="O2" s="1"/>
      <c r="P2" s="1"/>
      <c r="Q2" s="1"/>
      <c r="R2" s="1"/>
    </row>
    <row r="3" spans="1:18" ht="182">
      <c r="A3" s="164" t="s">
        <v>79</v>
      </c>
      <c r="B3" s="166" t="s">
        <v>80</v>
      </c>
      <c r="C3" s="150" t="s">
        <v>170</v>
      </c>
      <c r="D3" s="60" t="s">
        <v>171</v>
      </c>
      <c r="E3" s="61" t="s">
        <v>172</v>
      </c>
      <c r="F3" s="61">
        <f>SUM(60.4*8*8)</f>
        <v>3865.6</v>
      </c>
      <c r="G3" s="61" t="s">
        <v>173</v>
      </c>
      <c r="H3" s="61" t="s">
        <v>174</v>
      </c>
      <c r="I3" s="61">
        <v>0.373</v>
      </c>
      <c r="J3" s="61" t="s">
        <v>175</v>
      </c>
      <c r="K3" s="65">
        <f t="shared" ref="K3:K16" si="0">SUM(F3*I3)</f>
        <v>1441.8688</v>
      </c>
      <c r="L3" s="161">
        <f>SUM(K3:K4)</f>
        <v>1462.117105</v>
      </c>
      <c r="M3" s="54"/>
      <c r="O3" s="1"/>
      <c r="P3" s="1"/>
      <c r="Q3" s="1"/>
      <c r="R3" s="1"/>
    </row>
    <row r="4" spans="1:18" ht="78">
      <c r="A4" s="155"/>
      <c r="B4" s="159"/>
      <c r="C4" s="160"/>
      <c r="D4" s="75" t="s">
        <v>176</v>
      </c>
      <c r="E4" s="71" t="s">
        <v>172</v>
      </c>
      <c r="F4" s="71">
        <v>54.284999999999997</v>
      </c>
      <c r="G4" s="71" t="s">
        <v>173</v>
      </c>
      <c r="H4" s="76" t="s">
        <v>177</v>
      </c>
      <c r="I4" s="71">
        <v>0.373</v>
      </c>
      <c r="J4" s="71" t="s">
        <v>175</v>
      </c>
      <c r="K4" s="77">
        <f t="shared" si="0"/>
        <v>20.248304999999998</v>
      </c>
      <c r="L4" s="162"/>
      <c r="M4" s="54"/>
      <c r="O4" s="1"/>
      <c r="P4" s="1"/>
      <c r="Q4" s="1"/>
      <c r="R4" s="1"/>
    </row>
    <row r="5" spans="1:18" ht="182">
      <c r="A5" s="155"/>
      <c r="B5" s="166" t="s">
        <v>99</v>
      </c>
      <c r="C5" s="150" t="s">
        <v>170</v>
      </c>
      <c r="D5" s="60" t="s">
        <v>171</v>
      </c>
      <c r="E5" s="61" t="s">
        <v>172</v>
      </c>
      <c r="F5" s="61">
        <f>SUM(60.4*8*6)</f>
        <v>2899.2</v>
      </c>
      <c r="G5" s="61" t="s">
        <v>173</v>
      </c>
      <c r="H5" s="61" t="s">
        <v>178</v>
      </c>
      <c r="I5" s="61">
        <v>0.373</v>
      </c>
      <c r="J5" s="61" t="s">
        <v>175</v>
      </c>
      <c r="K5" s="65">
        <f t="shared" si="0"/>
        <v>1081.4015999999999</v>
      </c>
      <c r="L5" s="161">
        <f>SUM(K5:K6)</f>
        <v>1098.516705</v>
      </c>
      <c r="M5" s="54"/>
      <c r="O5" s="1"/>
      <c r="P5" s="1"/>
      <c r="Q5" s="1"/>
      <c r="R5" s="1"/>
    </row>
    <row r="6" spans="1:18" ht="78">
      <c r="A6" s="156"/>
      <c r="B6" s="159"/>
      <c r="C6" s="160"/>
      <c r="D6" s="75" t="s">
        <v>176</v>
      </c>
      <c r="E6" s="71" t="s">
        <v>172</v>
      </c>
      <c r="F6" s="71">
        <v>45.884999999999998</v>
      </c>
      <c r="G6" s="71" t="s">
        <v>173</v>
      </c>
      <c r="H6" s="76" t="s">
        <v>179</v>
      </c>
      <c r="I6" s="71">
        <v>0.373</v>
      </c>
      <c r="J6" s="71" t="s">
        <v>175</v>
      </c>
      <c r="K6" s="77">
        <f t="shared" si="0"/>
        <v>17.115105</v>
      </c>
      <c r="L6" s="162"/>
      <c r="M6" s="54"/>
      <c r="O6" s="1"/>
      <c r="P6" s="1"/>
      <c r="Q6" s="1"/>
      <c r="R6" s="1"/>
    </row>
    <row r="7" spans="1:18" ht="182">
      <c r="A7" s="165" t="s">
        <v>104</v>
      </c>
      <c r="B7" s="157" t="s">
        <v>105</v>
      </c>
      <c r="C7" s="149" t="s">
        <v>180</v>
      </c>
      <c r="D7" s="59" t="s">
        <v>171</v>
      </c>
      <c r="E7" s="61" t="s">
        <v>172</v>
      </c>
      <c r="F7" s="61">
        <f>SUM(36.3*3*8)</f>
        <v>871.19999999999993</v>
      </c>
      <c r="G7" s="61" t="s">
        <v>173</v>
      </c>
      <c r="H7" s="78" t="s">
        <v>181</v>
      </c>
      <c r="I7" s="61">
        <v>0.373</v>
      </c>
      <c r="J7" s="61" t="s">
        <v>175</v>
      </c>
      <c r="K7" s="67">
        <f t="shared" si="0"/>
        <v>324.95759999999996</v>
      </c>
      <c r="L7" s="163">
        <f>SUM(K7:K8)</f>
        <v>328.31459999999998</v>
      </c>
      <c r="M7" s="54"/>
      <c r="N7" s="1"/>
      <c r="O7" s="1"/>
      <c r="P7" s="1"/>
      <c r="Q7" s="1"/>
      <c r="R7" s="1"/>
    </row>
    <row r="8" spans="1:18" ht="65">
      <c r="A8" s="155"/>
      <c r="B8" s="159"/>
      <c r="C8" s="160"/>
      <c r="D8" s="75" t="s">
        <v>176</v>
      </c>
      <c r="E8" s="71" t="s">
        <v>172</v>
      </c>
      <c r="F8" s="71">
        <v>9</v>
      </c>
      <c r="G8" s="71" t="s">
        <v>173</v>
      </c>
      <c r="H8" s="76" t="s">
        <v>182</v>
      </c>
      <c r="I8" s="71">
        <v>0.373</v>
      </c>
      <c r="J8" s="71" t="s">
        <v>175</v>
      </c>
      <c r="K8" s="77">
        <f t="shared" si="0"/>
        <v>3.3570000000000002</v>
      </c>
      <c r="L8" s="156"/>
      <c r="M8" s="54"/>
      <c r="N8" s="1"/>
      <c r="O8" s="1"/>
      <c r="P8" s="1"/>
      <c r="Q8" s="1"/>
      <c r="R8" s="1"/>
    </row>
    <row r="9" spans="1:18" ht="182">
      <c r="A9" s="155"/>
      <c r="B9" s="91" t="s">
        <v>111</v>
      </c>
      <c r="C9" s="92" t="s">
        <v>183</v>
      </c>
      <c r="D9" s="59" t="s">
        <v>171</v>
      </c>
      <c r="E9" s="71" t="s">
        <v>172</v>
      </c>
      <c r="F9" s="71">
        <f>SUM(36.3*2*8)</f>
        <v>580.79999999999995</v>
      </c>
      <c r="G9" s="71" t="s">
        <v>173</v>
      </c>
      <c r="H9" s="93" t="s">
        <v>184</v>
      </c>
      <c r="I9" s="71">
        <v>0.373</v>
      </c>
      <c r="J9" s="71" t="s">
        <v>175</v>
      </c>
      <c r="K9" s="67">
        <f t="shared" si="0"/>
        <v>216.63839999999999</v>
      </c>
      <c r="L9" s="94">
        <f t="shared" ref="L9:L10" si="1">SUM(K9)</f>
        <v>216.63839999999999</v>
      </c>
      <c r="M9" s="54"/>
      <c r="N9" s="1"/>
      <c r="O9" s="1"/>
      <c r="P9" s="1"/>
      <c r="Q9" s="1"/>
      <c r="R9" s="1"/>
    </row>
    <row r="10" spans="1:18" ht="221">
      <c r="A10" s="156"/>
      <c r="B10" s="91" t="s">
        <v>115</v>
      </c>
      <c r="C10" s="59" t="s">
        <v>185</v>
      </c>
      <c r="D10" s="59" t="s">
        <v>171</v>
      </c>
      <c r="E10" s="71" t="s">
        <v>172</v>
      </c>
      <c r="F10" s="71">
        <f>SUM((60.4*8*10)+(60.4*2*8*14))</f>
        <v>18361.599999999999</v>
      </c>
      <c r="G10" s="71" t="s">
        <v>173</v>
      </c>
      <c r="H10" s="61" t="s">
        <v>186</v>
      </c>
      <c r="I10" s="71">
        <v>0.373</v>
      </c>
      <c r="J10" s="71" t="s">
        <v>175</v>
      </c>
      <c r="K10" s="67">
        <f t="shared" si="0"/>
        <v>6848.8767999999991</v>
      </c>
      <c r="L10" s="94">
        <f t="shared" si="1"/>
        <v>6848.8767999999991</v>
      </c>
      <c r="M10" s="54"/>
      <c r="N10" s="1"/>
      <c r="O10" s="1"/>
      <c r="P10" s="1"/>
      <c r="Q10" s="1"/>
      <c r="R10" s="1"/>
    </row>
    <row r="11" spans="1:18" ht="182">
      <c r="A11" s="169" t="s">
        <v>127</v>
      </c>
      <c r="B11" s="157" t="s">
        <v>24</v>
      </c>
      <c r="C11" s="59" t="s">
        <v>183</v>
      </c>
      <c r="D11" s="59" t="s">
        <v>171</v>
      </c>
      <c r="E11" s="61" t="s">
        <v>172</v>
      </c>
      <c r="F11" s="61">
        <v>36.299999999999997</v>
      </c>
      <c r="G11" s="61" t="s">
        <v>173</v>
      </c>
      <c r="H11" s="78" t="s">
        <v>187</v>
      </c>
      <c r="I11" s="61">
        <v>0.373</v>
      </c>
      <c r="J11" s="61" t="s">
        <v>175</v>
      </c>
      <c r="K11" s="63">
        <f t="shared" si="0"/>
        <v>13.539899999999999</v>
      </c>
      <c r="L11" s="163">
        <f>SUM(K11:K12)</f>
        <v>18.631349999999998</v>
      </c>
      <c r="M11" s="54"/>
      <c r="N11" s="1"/>
      <c r="O11" s="1"/>
      <c r="P11" s="1"/>
      <c r="Q11" s="1"/>
      <c r="R11" s="1"/>
    </row>
    <row r="12" spans="1:18" ht="78">
      <c r="A12" s="155"/>
      <c r="B12" s="159"/>
      <c r="C12" s="75" t="s">
        <v>188</v>
      </c>
      <c r="D12" s="60" t="s">
        <v>176</v>
      </c>
      <c r="E12" s="71" t="s">
        <v>172</v>
      </c>
      <c r="F12" s="71">
        <v>13.65</v>
      </c>
      <c r="G12" s="71" t="s">
        <v>173</v>
      </c>
      <c r="H12" s="76" t="s">
        <v>189</v>
      </c>
      <c r="I12" s="71">
        <v>0.373</v>
      </c>
      <c r="J12" s="71" t="s">
        <v>175</v>
      </c>
      <c r="K12" s="77">
        <f t="shared" si="0"/>
        <v>5.09145</v>
      </c>
      <c r="L12" s="155"/>
      <c r="M12" s="54"/>
      <c r="N12" s="1"/>
      <c r="O12" s="1"/>
      <c r="P12" s="1"/>
      <c r="Q12" s="1"/>
      <c r="R12" s="1"/>
    </row>
    <row r="13" spans="1:18" ht="221">
      <c r="A13" s="155"/>
      <c r="B13" s="166" t="s">
        <v>25</v>
      </c>
      <c r="C13" s="149" t="s">
        <v>188</v>
      </c>
      <c r="D13" s="59" t="s">
        <v>190</v>
      </c>
      <c r="E13" s="61" t="s">
        <v>172</v>
      </c>
      <c r="F13" s="61">
        <v>2010</v>
      </c>
      <c r="G13" s="95" t="s">
        <v>173</v>
      </c>
      <c r="H13" s="64" t="s">
        <v>191</v>
      </c>
      <c r="I13" s="61">
        <v>0.373</v>
      </c>
      <c r="J13" s="61" t="s">
        <v>175</v>
      </c>
      <c r="K13" s="66">
        <f t="shared" si="0"/>
        <v>749.73</v>
      </c>
      <c r="L13" s="163">
        <f>SUM(K13:K15)</f>
        <v>1142.1633000000002</v>
      </c>
      <c r="M13" s="54"/>
      <c r="N13" s="1"/>
      <c r="O13" s="1"/>
      <c r="P13" s="1"/>
      <c r="Q13" s="1"/>
      <c r="R13" s="1"/>
    </row>
    <row r="14" spans="1:18" ht="234">
      <c r="A14" s="155"/>
      <c r="B14" s="158"/>
      <c r="C14" s="140"/>
      <c r="D14" s="60" t="s">
        <v>192</v>
      </c>
      <c r="E14" s="61" t="s">
        <v>172</v>
      </c>
      <c r="F14" s="61">
        <v>1044</v>
      </c>
      <c r="G14" s="61" t="s">
        <v>173</v>
      </c>
      <c r="H14" s="64" t="s">
        <v>193</v>
      </c>
      <c r="I14" s="61">
        <v>0.373</v>
      </c>
      <c r="J14" s="61" t="s">
        <v>175</v>
      </c>
      <c r="K14" s="66">
        <f t="shared" si="0"/>
        <v>389.41199999999998</v>
      </c>
      <c r="L14" s="155"/>
      <c r="M14" s="54"/>
      <c r="N14" s="1"/>
      <c r="O14" s="1"/>
      <c r="P14" s="1"/>
      <c r="Q14" s="1"/>
      <c r="R14" s="1"/>
    </row>
    <row r="15" spans="1:18" ht="156">
      <c r="A15" s="156"/>
      <c r="B15" s="159"/>
      <c r="C15" s="60" t="s">
        <v>194</v>
      </c>
      <c r="D15" s="60" t="s">
        <v>195</v>
      </c>
      <c r="E15" s="61" t="s">
        <v>172</v>
      </c>
      <c r="F15" s="61">
        <f>SUM((1800*4.5)/1000)</f>
        <v>8.1</v>
      </c>
      <c r="G15" s="61" t="s">
        <v>173</v>
      </c>
      <c r="H15" s="64" t="s">
        <v>196</v>
      </c>
      <c r="I15" s="61">
        <v>0.373</v>
      </c>
      <c r="J15" s="61" t="s">
        <v>175</v>
      </c>
      <c r="K15" s="66">
        <f t="shared" si="0"/>
        <v>3.0212999999999997</v>
      </c>
      <c r="L15" s="156"/>
      <c r="M15" s="54"/>
      <c r="N15" s="1"/>
      <c r="O15" s="1"/>
      <c r="P15" s="1"/>
      <c r="Q15" s="1"/>
      <c r="R15" s="1"/>
    </row>
    <row r="16" spans="1:18" ht="185">
      <c r="A16" s="96" t="s">
        <v>165</v>
      </c>
      <c r="B16" s="97" t="s">
        <v>166</v>
      </c>
      <c r="C16" s="92" t="s">
        <v>197</v>
      </c>
      <c r="D16" s="92" t="s">
        <v>171</v>
      </c>
      <c r="E16" s="98" t="s">
        <v>172</v>
      </c>
      <c r="F16" s="98">
        <f>SUM(60.4*14*2)</f>
        <v>1691.2</v>
      </c>
      <c r="G16" s="98" t="s">
        <v>173</v>
      </c>
      <c r="H16" s="99" t="s">
        <v>198</v>
      </c>
      <c r="I16" s="100">
        <v>0.373</v>
      </c>
      <c r="J16" s="98" t="s">
        <v>175</v>
      </c>
      <c r="K16" s="101">
        <f t="shared" si="0"/>
        <v>630.81759999999997</v>
      </c>
      <c r="L16" s="102">
        <f>SUM(K16)</f>
        <v>630.81759999999997</v>
      </c>
    </row>
    <row r="17" spans="1:12">
      <c r="A17" s="54"/>
      <c r="B17" s="54"/>
      <c r="C17" s="54"/>
      <c r="D17" s="73"/>
      <c r="E17" s="73"/>
      <c r="F17" s="73"/>
      <c r="G17" s="73"/>
      <c r="H17" s="61"/>
      <c r="I17" s="61"/>
      <c r="J17" s="61"/>
      <c r="K17" s="61"/>
      <c r="L17" s="61"/>
    </row>
    <row r="18" spans="1:12">
      <c r="A18" s="54"/>
      <c r="B18" s="54"/>
      <c r="C18" s="54"/>
      <c r="D18" s="73"/>
      <c r="E18" s="73"/>
      <c r="F18" s="73"/>
      <c r="G18" s="73"/>
      <c r="H18" s="61"/>
      <c r="I18" s="61"/>
      <c r="J18" s="61"/>
      <c r="K18" s="61"/>
      <c r="L18" s="61"/>
    </row>
    <row r="19" spans="1:12">
      <c r="A19" s="54"/>
      <c r="B19" s="54"/>
      <c r="C19" s="54"/>
      <c r="D19" s="73"/>
      <c r="E19" s="73"/>
      <c r="F19" s="73"/>
      <c r="G19" s="73"/>
      <c r="H19" s="61"/>
      <c r="I19" s="61"/>
      <c r="J19" s="61"/>
      <c r="K19" s="61"/>
      <c r="L19" s="61"/>
    </row>
    <row r="20" spans="1:12">
      <c r="A20" s="54"/>
      <c r="B20" s="54"/>
      <c r="C20" s="54"/>
      <c r="D20" s="73"/>
      <c r="E20" s="73"/>
      <c r="F20" s="73"/>
      <c r="G20" s="73"/>
      <c r="H20" s="61"/>
      <c r="I20" s="61"/>
      <c r="J20" s="61"/>
      <c r="K20" s="61"/>
      <c r="L20" s="61"/>
    </row>
    <row r="21" spans="1:12">
      <c r="A21" s="54"/>
      <c r="B21" s="54"/>
      <c r="C21" s="54"/>
      <c r="D21" s="73"/>
      <c r="E21" s="73"/>
      <c r="F21" s="73"/>
      <c r="G21" s="73"/>
      <c r="H21" s="74"/>
      <c r="I21" s="74"/>
      <c r="J21" s="74"/>
      <c r="K21" s="74"/>
      <c r="L21" s="74"/>
    </row>
    <row r="22" spans="1:12">
      <c r="A22" s="1"/>
      <c r="B22" s="1"/>
      <c r="C22" s="1"/>
    </row>
    <row r="23" spans="1:12">
      <c r="A23" s="1"/>
      <c r="B23" s="1"/>
      <c r="C23" s="1"/>
    </row>
    <row r="24" spans="1:12">
      <c r="A24" s="1"/>
      <c r="B24" s="1"/>
      <c r="C24" s="1"/>
    </row>
    <row r="25" spans="1:12">
      <c r="A25" s="1"/>
      <c r="B25" s="1"/>
      <c r="C25" s="1"/>
    </row>
  </sheetData>
  <mergeCells count="18">
    <mergeCell ref="B13:B15"/>
    <mergeCell ref="C13:C14"/>
    <mergeCell ref="L7:L8"/>
    <mergeCell ref="L11:L12"/>
    <mergeCell ref="L13:L15"/>
    <mergeCell ref="A1:L1"/>
    <mergeCell ref="B3:B4"/>
    <mergeCell ref="C3:C4"/>
    <mergeCell ref="L3:L4"/>
    <mergeCell ref="B5:B6"/>
    <mergeCell ref="C5:C6"/>
    <mergeCell ref="L5:L6"/>
    <mergeCell ref="A3:A6"/>
    <mergeCell ref="A7:A10"/>
    <mergeCell ref="B7:B8"/>
    <mergeCell ref="C7:C8"/>
    <mergeCell ref="A11:A15"/>
    <mergeCell ref="B11:B12"/>
  </mergeCells>
  <hyperlinks>
    <hyperlink ref="H4" r:id="rId1" location=":~:text=A%20typical%20tablet%20computer%20uses,hours%20(kWh)%20of%20energy." xr:uid="{00000000-0004-0000-0300-000000000000}"/>
    <hyperlink ref="H6" r:id="rId2" location=":~:text=A%20typical%20tablet%20computer%20uses,hours%20(kWh)%20of%20energy." xr:uid="{00000000-0004-0000-0300-000001000000}"/>
    <hyperlink ref="H7" r:id="rId3" xr:uid="{00000000-0004-0000-0300-000002000000}"/>
    <hyperlink ref="H8" r:id="rId4" location=":~:text=A%20typical%20tablet%20computer%20uses,hours%20(kWh)%20of%20energy." xr:uid="{00000000-0004-0000-0300-000003000000}"/>
    <hyperlink ref="H9" r:id="rId5" xr:uid="{00000000-0004-0000-0300-000004000000}"/>
    <hyperlink ref="H11" r:id="rId6" xr:uid="{00000000-0004-0000-0300-000005000000}"/>
    <hyperlink ref="H12" r:id="rId7" location=":~:text=A%20typical%20tablet%20computer%20uses,hours%20(kWh)%20of%20energy." xr:uid="{00000000-0004-0000-0300-000006000000}"/>
    <hyperlink ref="H13" r:id="rId8" location=":~:text=A%20typical%20tablet%20computer%20uses,hours%20(kWh)%20of%20energy." xr:uid="{00000000-0004-0000-0300-000007000000}"/>
    <hyperlink ref="H14" r:id="rId9" location=":~:text=A%20typical%20tablet%20computer%20uses,hours%20(kWh)%20of%20energy." xr:uid="{00000000-0004-0000-0300-000008000000}"/>
    <hyperlink ref="H15" r:id="rId10" xr:uid="{00000000-0004-0000-0300-000009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R34"/>
  <sheetViews>
    <sheetView workbookViewId="0">
      <selection sqref="A1:L1"/>
    </sheetView>
  </sheetViews>
  <sheetFormatPr baseColWidth="10" defaultColWidth="12.6640625" defaultRowHeight="13"/>
  <cols>
    <col min="1" max="1" width="21.33203125" customWidth="1"/>
    <col min="2" max="2" width="22.1640625" customWidth="1"/>
    <col min="3" max="3" width="14.83203125" customWidth="1"/>
    <col min="4" max="4" width="42.6640625" customWidth="1"/>
    <col min="5" max="5" width="31" customWidth="1"/>
    <col min="6" max="7" width="24.33203125" customWidth="1"/>
    <col min="8" max="12" width="24.6640625" customWidth="1"/>
  </cols>
  <sheetData>
    <row r="1" spans="1:18" ht="26" customHeight="1">
      <c r="A1" s="151" t="s">
        <v>199</v>
      </c>
      <c r="B1" s="152"/>
      <c r="C1" s="152"/>
      <c r="D1" s="152"/>
      <c r="E1" s="152"/>
      <c r="F1" s="152"/>
      <c r="G1" s="152"/>
      <c r="H1" s="152"/>
      <c r="I1" s="152"/>
      <c r="J1" s="152"/>
      <c r="K1" s="152"/>
      <c r="L1" s="153"/>
      <c r="M1" s="54"/>
      <c r="N1" s="1"/>
      <c r="O1" s="1"/>
      <c r="P1" s="1"/>
      <c r="Q1" s="1"/>
      <c r="R1" s="1"/>
    </row>
    <row r="2" spans="1:18" ht="60">
      <c r="A2" s="56" t="s">
        <v>33</v>
      </c>
      <c r="B2" s="57" t="s">
        <v>34</v>
      </c>
      <c r="C2" s="57" t="s">
        <v>35</v>
      </c>
      <c r="D2" s="57" t="s">
        <v>36</v>
      </c>
      <c r="E2" s="57" t="s">
        <v>37</v>
      </c>
      <c r="F2" s="57" t="s">
        <v>38</v>
      </c>
      <c r="G2" s="57" t="s">
        <v>39</v>
      </c>
      <c r="H2" s="57" t="s">
        <v>40</v>
      </c>
      <c r="I2" s="57" t="s">
        <v>41</v>
      </c>
      <c r="J2" s="57" t="s">
        <v>77</v>
      </c>
      <c r="K2" s="58" t="s">
        <v>200</v>
      </c>
      <c r="L2" s="58" t="s">
        <v>44</v>
      </c>
      <c r="M2" s="54"/>
      <c r="O2" s="1"/>
      <c r="P2" s="1"/>
      <c r="Q2" s="1"/>
      <c r="R2" s="1"/>
    </row>
    <row r="3" spans="1:18" ht="117">
      <c r="A3" s="164" t="s">
        <v>13</v>
      </c>
      <c r="B3" s="166" t="s">
        <v>80</v>
      </c>
      <c r="C3" s="60" t="s">
        <v>170</v>
      </c>
      <c r="D3" s="60" t="s">
        <v>201</v>
      </c>
      <c r="E3" s="61" t="s">
        <v>202</v>
      </c>
      <c r="F3" s="61">
        <f>SUM(18.4*8*8)</f>
        <v>1177.5999999999999</v>
      </c>
      <c r="G3" s="61" t="s">
        <v>203</v>
      </c>
      <c r="H3" s="64" t="s">
        <v>204</v>
      </c>
      <c r="I3" s="61">
        <v>0.13200000000000001</v>
      </c>
      <c r="J3" s="61" t="s">
        <v>205</v>
      </c>
      <c r="K3" s="65">
        <f t="shared" ref="K3:K25" si="0">SUM(F3*I3)</f>
        <v>155.44319999999999</v>
      </c>
      <c r="L3" s="161">
        <f>SUM(K3:K4)</f>
        <v>6252.7343999999994</v>
      </c>
      <c r="M3" s="54"/>
      <c r="O3" s="1"/>
      <c r="P3" s="1"/>
      <c r="Q3" s="1"/>
      <c r="R3" s="1"/>
    </row>
    <row r="4" spans="1:18" ht="65">
      <c r="A4" s="155"/>
      <c r="B4" s="159"/>
      <c r="C4" s="75" t="s">
        <v>206</v>
      </c>
      <c r="D4" s="75" t="s">
        <v>207</v>
      </c>
      <c r="E4" s="71" t="s">
        <v>208</v>
      </c>
      <c r="F4" s="71">
        <f>SUM(3619*15.6)</f>
        <v>56456.4</v>
      </c>
      <c r="G4" s="71" t="s">
        <v>73</v>
      </c>
      <c r="H4" s="71" t="s">
        <v>209</v>
      </c>
      <c r="I4" s="71">
        <v>0.108</v>
      </c>
      <c r="J4" s="71" t="s">
        <v>210</v>
      </c>
      <c r="K4" s="77">
        <f t="shared" si="0"/>
        <v>6097.2911999999997</v>
      </c>
      <c r="L4" s="162"/>
      <c r="M4" s="54"/>
      <c r="O4" s="1"/>
      <c r="P4" s="1"/>
      <c r="Q4" s="1"/>
      <c r="R4" s="1"/>
    </row>
    <row r="5" spans="1:18" ht="117">
      <c r="A5" s="155"/>
      <c r="B5" s="166" t="s">
        <v>99</v>
      </c>
      <c r="C5" s="60" t="s">
        <v>170</v>
      </c>
      <c r="D5" s="60" t="s">
        <v>201</v>
      </c>
      <c r="E5" s="61" t="s">
        <v>202</v>
      </c>
      <c r="F5" s="61">
        <f>SUM(18.4*8*6)</f>
        <v>883.19999999999993</v>
      </c>
      <c r="G5" s="61" t="s">
        <v>203</v>
      </c>
      <c r="H5" s="64" t="s">
        <v>211</v>
      </c>
      <c r="I5" s="61">
        <v>0.13200000000000001</v>
      </c>
      <c r="J5" s="61" t="s">
        <v>205</v>
      </c>
      <c r="K5" s="65">
        <f t="shared" si="0"/>
        <v>116.58239999999999</v>
      </c>
      <c r="L5" s="161">
        <f>SUM(K5:K6)</f>
        <v>5270.3856000000005</v>
      </c>
      <c r="M5" s="54"/>
      <c r="O5" s="1"/>
      <c r="P5" s="1"/>
      <c r="Q5" s="1"/>
      <c r="R5" s="1"/>
    </row>
    <row r="6" spans="1:18" ht="65">
      <c r="A6" s="156"/>
      <c r="B6" s="159"/>
      <c r="C6" s="60" t="s">
        <v>206</v>
      </c>
      <c r="D6" s="60" t="s">
        <v>207</v>
      </c>
      <c r="E6" s="71" t="s">
        <v>208</v>
      </c>
      <c r="F6" s="71">
        <f>SUM(3059*15.6)</f>
        <v>47720.4</v>
      </c>
      <c r="G6" s="71" t="s">
        <v>73</v>
      </c>
      <c r="H6" s="71" t="s">
        <v>212</v>
      </c>
      <c r="I6" s="71">
        <v>0.108</v>
      </c>
      <c r="J6" s="71" t="s">
        <v>210</v>
      </c>
      <c r="K6" s="77">
        <f t="shared" si="0"/>
        <v>5153.8032000000003</v>
      </c>
      <c r="L6" s="162"/>
      <c r="M6" s="54"/>
      <c r="O6" s="1"/>
      <c r="P6" s="1"/>
      <c r="Q6" s="1"/>
      <c r="R6" s="1"/>
    </row>
    <row r="7" spans="1:18" ht="130">
      <c r="A7" s="165" t="s">
        <v>104</v>
      </c>
      <c r="B7" s="91" t="s">
        <v>105</v>
      </c>
      <c r="C7" s="59" t="s">
        <v>185</v>
      </c>
      <c r="D7" s="59" t="s">
        <v>201</v>
      </c>
      <c r="E7" s="62" t="s">
        <v>202</v>
      </c>
      <c r="F7" s="62">
        <f t="shared" ref="F7:F8" si="1">SUM(11*3*8)</f>
        <v>264</v>
      </c>
      <c r="G7" s="62" t="s">
        <v>203</v>
      </c>
      <c r="H7" s="78" t="s">
        <v>213</v>
      </c>
      <c r="I7" s="62">
        <v>0.13200000000000001</v>
      </c>
      <c r="J7" s="62" t="s">
        <v>205</v>
      </c>
      <c r="K7" s="63">
        <f t="shared" si="0"/>
        <v>34.847999999999999</v>
      </c>
      <c r="L7" s="94">
        <f t="shared" ref="L7:L8" si="2">SUM(K7)</f>
        <v>34.847999999999999</v>
      </c>
      <c r="M7" s="54"/>
      <c r="N7" s="1"/>
      <c r="O7" s="1"/>
      <c r="P7" s="1"/>
      <c r="Q7" s="1"/>
      <c r="R7" s="1"/>
    </row>
    <row r="8" spans="1:18" ht="130">
      <c r="A8" s="155"/>
      <c r="B8" s="91" t="s">
        <v>111</v>
      </c>
      <c r="C8" s="92" t="s">
        <v>183</v>
      </c>
      <c r="D8" s="59" t="s">
        <v>201</v>
      </c>
      <c r="E8" s="62" t="s">
        <v>202</v>
      </c>
      <c r="F8" s="62">
        <f t="shared" si="1"/>
        <v>264</v>
      </c>
      <c r="G8" s="62" t="s">
        <v>203</v>
      </c>
      <c r="H8" s="78" t="s">
        <v>214</v>
      </c>
      <c r="I8" s="62">
        <v>0.13200000000000001</v>
      </c>
      <c r="J8" s="62" t="s">
        <v>205</v>
      </c>
      <c r="K8" s="63">
        <f t="shared" si="0"/>
        <v>34.847999999999999</v>
      </c>
      <c r="L8" s="94">
        <f t="shared" si="2"/>
        <v>34.847999999999999</v>
      </c>
      <c r="M8" s="54"/>
      <c r="N8" s="1"/>
      <c r="O8" s="1"/>
      <c r="P8" s="1"/>
      <c r="Q8" s="1"/>
      <c r="R8" s="1"/>
    </row>
    <row r="9" spans="1:18" ht="143">
      <c r="A9" s="155"/>
      <c r="B9" s="157" t="s">
        <v>115</v>
      </c>
      <c r="C9" s="59" t="s">
        <v>215</v>
      </c>
      <c r="D9" s="59" t="s">
        <v>201</v>
      </c>
      <c r="E9" s="62" t="s">
        <v>202</v>
      </c>
      <c r="F9" s="62">
        <f>SUM((18.4*10*8)+(18.4*10*14*2))</f>
        <v>6624</v>
      </c>
      <c r="G9" s="62" t="s">
        <v>203</v>
      </c>
      <c r="H9" s="78" t="s">
        <v>216</v>
      </c>
      <c r="I9" s="62">
        <v>0.13200000000000001</v>
      </c>
      <c r="J9" s="62" t="s">
        <v>205</v>
      </c>
      <c r="K9" s="63">
        <f t="shared" si="0"/>
        <v>874.36800000000005</v>
      </c>
      <c r="L9" s="163">
        <f>SUM(K9:K19)</f>
        <v>190278.20026899999</v>
      </c>
      <c r="M9" s="54"/>
      <c r="N9" s="1"/>
      <c r="O9" s="1"/>
      <c r="P9" s="1"/>
      <c r="Q9" s="1"/>
      <c r="R9" s="1"/>
    </row>
    <row r="10" spans="1:18" ht="78">
      <c r="A10" s="155"/>
      <c r="B10" s="158"/>
      <c r="C10" s="150" t="s">
        <v>217</v>
      </c>
      <c r="D10" s="60" t="s">
        <v>218</v>
      </c>
      <c r="E10" s="61" t="s">
        <v>219</v>
      </c>
      <c r="F10" s="61">
        <f>SUM(((109830*450/1000000)*0.02))</f>
        <v>0.98846999999999996</v>
      </c>
      <c r="G10" s="61" t="s">
        <v>220</v>
      </c>
      <c r="H10" s="64" t="s">
        <v>221</v>
      </c>
      <c r="I10" s="61">
        <v>558</v>
      </c>
      <c r="J10" s="61" t="s">
        <v>222</v>
      </c>
      <c r="K10" s="66">
        <f t="shared" si="0"/>
        <v>551.56625999999994</v>
      </c>
      <c r="L10" s="155"/>
      <c r="M10" s="54"/>
      <c r="N10" s="1"/>
      <c r="O10" s="1"/>
      <c r="P10" s="1"/>
      <c r="Q10" s="1"/>
      <c r="R10" s="1"/>
    </row>
    <row r="11" spans="1:18" ht="143">
      <c r="A11" s="155"/>
      <c r="B11" s="158"/>
      <c r="C11" s="140"/>
      <c r="D11" s="60" t="s">
        <v>223</v>
      </c>
      <c r="E11" s="61" t="s">
        <v>224</v>
      </c>
      <c r="F11" s="61">
        <f>SUM(((6500*15)+(200*30)+(65*90)+(8*60))/3)</f>
        <v>36610</v>
      </c>
      <c r="G11" s="61" t="s">
        <v>225</v>
      </c>
      <c r="H11" s="61" t="s">
        <v>226</v>
      </c>
      <c r="I11" s="61">
        <v>2.04</v>
      </c>
      <c r="J11" s="61" t="s">
        <v>227</v>
      </c>
      <c r="K11" s="66">
        <f t="shared" si="0"/>
        <v>74684.399999999994</v>
      </c>
      <c r="L11" s="155"/>
      <c r="M11" s="54"/>
      <c r="N11" s="1"/>
      <c r="O11" s="1"/>
      <c r="P11" s="1"/>
      <c r="Q11" s="1"/>
      <c r="R11" s="1"/>
    </row>
    <row r="12" spans="1:18" ht="143">
      <c r="A12" s="155"/>
      <c r="B12" s="158"/>
      <c r="C12" s="140"/>
      <c r="D12" s="60" t="s">
        <v>228</v>
      </c>
      <c r="E12" s="61" t="s">
        <v>224</v>
      </c>
      <c r="F12" s="61">
        <f>SUM(((6500*15)+(200*30)+(65*90)+(8*60))/3*2)</f>
        <v>73220</v>
      </c>
      <c r="G12" s="61" t="s">
        <v>225</v>
      </c>
      <c r="H12" s="61" t="s">
        <v>229</v>
      </c>
      <c r="I12" s="61">
        <v>0.51</v>
      </c>
      <c r="J12" s="61" t="s">
        <v>230</v>
      </c>
      <c r="K12" s="66">
        <f t="shared" si="0"/>
        <v>37342.199999999997</v>
      </c>
      <c r="L12" s="155"/>
      <c r="M12" s="54"/>
      <c r="N12" s="1"/>
      <c r="O12" s="1"/>
      <c r="P12" s="1"/>
      <c r="Q12" s="1"/>
      <c r="R12" s="1"/>
    </row>
    <row r="13" spans="1:18" ht="169">
      <c r="A13" s="155"/>
      <c r="B13" s="158"/>
      <c r="C13" s="140"/>
      <c r="D13" s="60" t="s">
        <v>231</v>
      </c>
      <c r="E13" s="61" t="s">
        <v>232</v>
      </c>
      <c r="F13" s="61">
        <f>SUM((6500*1.5*5)+(200*1.5*10)+(65*1.5*30)+(8*1.5*20))</f>
        <v>54915</v>
      </c>
      <c r="G13" s="61" t="s">
        <v>233</v>
      </c>
      <c r="H13" s="61" t="s">
        <v>234</v>
      </c>
      <c r="I13" s="61">
        <v>0.39</v>
      </c>
      <c r="J13" s="61" t="s">
        <v>235</v>
      </c>
      <c r="K13" s="66">
        <f t="shared" si="0"/>
        <v>21416.850000000002</v>
      </c>
      <c r="L13" s="155"/>
      <c r="M13" s="54"/>
      <c r="N13" s="1"/>
      <c r="O13" s="1"/>
      <c r="P13" s="1"/>
      <c r="Q13" s="1"/>
      <c r="R13" s="1"/>
    </row>
    <row r="14" spans="1:18" ht="104">
      <c r="A14" s="155"/>
      <c r="B14" s="158"/>
      <c r="C14" s="140"/>
      <c r="D14" s="60" t="s">
        <v>236</v>
      </c>
      <c r="E14" s="61" t="s">
        <v>237</v>
      </c>
      <c r="F14" s="61">
        <f>SUM(37067.625*1.2)</f>
        <v>44481.15</v>
      </c>
      <c r="G14" s="61" t="s">
        <v>238</v>
      </c>
      <c r="H14" s="61" t="s">
        <v>239</v>
      </c>
      <c r="I14" s="61">
        <v>0.06</v>
      </c>
      <c r="J14" s="61" t="s">
        <v>240</v>
      </c>
      <c r="K14" s="66">
        <f t="shared" si="0"/>
        <v>2668.8690000000001</v>
      </c>
      <c r="L14" s="155"/>
      <c r="M14" s="54"/>
      <c r="N14" s="1"/>
      <c r="O14" s="1"/>
      <c r="P14" s="1"/>
      <c r="Q14" s="1"/>
      <c r="R14" s="1"/>
    </row>
    <row r="15" spans="1:18" ht="143">
      <c r="A15" s="155"/>
      <c r="B15" s="158"/>
      <c r="C15" s="140"/>
      <c r="D15" s="60" t="s">
        <v>241</v>
      </c>
      <c r="E15" s="61" t="s">
        <v>237</v>
      </c>
      <c r="F15" s="61">
        <f>SUM(12355.875*0.6624)</f>
        <v>8184.5316000000003</v>
      </c>
      <c r="G15" s="61" t="s">
        <v>238</v>
      </c>
      <c r="H15" s="61" t="s">
        <v>242</v>
      </c>
      <c r="I15" s="61">
        <v>2.4900000000000002</v>
      </c>
      <c r="J15" s="61" t="s">
        <v>243</v>
      </c>
      <c r="K15" s="66">
        <f t="shared" si="0"/>
        <v>20379.483684000003</v>
      </c>
      <c r="L15" s="155"/>
      <c r="M15" s="54"/>
      <c r="N15" s="1"/>
      <c r="O15" s="1"/>
      <c r="P15" s="1"/>
      <c r="Q15" s="1"/>
      <c r="R15" s="1"/>
    </row>
    <row r="16" spans="1:18" ht="143">
      <c r="A16" s="155"/>
      <c r="B16" s="158"/>
      <c r="C16" s="150" t="s">
        <v>244</v>
      </c>
      <c r="D16" s="60" t="s">
        <v>245</v>
      </c>
      <c r="E16" s="61" t="s">
        <v>246</v>
      </c>
      <c r="F16" s="61">
        <f>SUM(((6500*32.5*2.5)+(200*47.5*2.5)+(6700*50*5))/1000000)</f>
        <v>2.2268750000000002</v>
      </c>
      <c r="G16" s="61" t="s">
        <v>220</v>
      </c>
      <c r="H16" s="64" t="s">
        <v>247</v>
      </c>
      <c r="I16" s="61">
        <v>919</v>
      </c>
      <c r="J16" s="61" t="s">
        <v>248</v>
      </c>
      <c r="K16" s="66">
        <f t="shared" si="0"/>
        <v>2046.4981250000001</v>
      </c>
      <c r="L16" s="155"/>
      <c r="M16" s="54"/>
      <c r="N16" s="1"/>
      <c r="O16" s="1"/>
      <c r="P16" s="1"/>
      <c r="Q16" s="1"/>
      <c r="R16" s="1"/>
    </row>
    <row r="17" spans="1:18" ht="156">
      <c r="A17" s="155"/>
      <c r="B17" s="158"/>
      <c r="C17" s="140"/>
      <c r="D17" s="60" t="s">
        <v>249</v>
      </c>
      <c r="E17" s="61" t="s">
        <v>250</v>
      </c>
      <c r="F17" s="61">
        <v>552</v>
      </c>
      <c r="G17" s="61" t="s">
        <v>251</v>
      </c>
      <c r="H17" s="61" t="s">
        <v>252</v>
      </c>
      <c r="I17" s="61">
        <v>2.29</v>
      </c>
      <c r="J17" s="61" t="s">
        <v>253</v>
      </c>
      <c r="K17" s="66">
        <f t="shared" si="0"/>
        <v>1264.08</v>
      </c>
      <c r="L17" s="155"/>
      <c r="M17" s="54"/>
      <c r="N17" s="1"/>
      <c r="O17" s="1"/>
      <c r="P17" s="1"/>
      <c r="Q17" s="1"/>
      <c r="R17" s="1"/>
    </row>
    <row r="18" spans="1:18" ht="65">
      <c r="A18" s="155"/>
      <c r="B18" s="158"/>
      <c r="C18" s="140"/>
      <c r="D18" s="60" t="s">
        <v>254</v>
      </c>
      <c r="E18" s="61" t="s">
        <v>255</v>
      </c>
      <c r="F18" s="61">
        <f>SUM(1340/1000)</f>
        <v>1.34</v>
      </c>
      <c r="G18" s="61" t="s">
        <v>256</v>
      </c>
      <c r="H18" s="64" t="s">
        <v>257</v>
      </c>
      <c r="I18" s="61">
        <v>367</v>
      </c>
      <c r="J18" s="61" t="s">
        <v>258</v>
      </c>
      <c r="K18" s="66">
        <f t="shared" si="0"/>
        <v>491.78000000000003</v>
      </c>
      <c r="L18" s="155"/>
      <c r="M18" s="54"/>
      <c r="N18" s="1"/>
      <c r="O18" s="1"/>
      <c r="P18" s="1"/>
      <c r="Q18" s="1"/>
      <c r="R18" s="1"/>
    </row>
    <row r="19" spans="1:18" ht="130">
      <c r="A19" s="156"/>
      <c r="B19" s="159"/>
      <c r="C19" s="75" t="s">
        <v>206</v>
      </c>
      <c r="D19" s="75" t="s">
        <v>207</v>
      </c>
      <c r="E19" s="71" t="s">
        <v>208</v>
      </c>
      <c r="F19" s="71">
        <f>SUM((38.84*6500)+(58.26*200)+(0.047*6700))</f>
        <v>264426.90000000002</v>
      </c>
      <c r="G19" s="71" t="s">
        <v>73</v>
      </c>
      <c r="H19" s="71" t="s">
        <v>259</v>
      </c>
      <c r="I19" s="71">
        <v>0.108</v>
      </c>
      <c r="J19" s="71" t="s">
        <v>210</v>
      </c>
      <c r="K19" s="77">
        <f t="shared" si="0"/>
        <v>28558.105200000002</v>
      </c>
      <c r="L19" s="156"/>
      <c r="M19" s="54"/>
      <c r="N19" s="1"/>
      <c r="O19" s="1"/>
      <c r="P19" s="1"/>
      <c r="Q19" s="1"/>
      <c r="R19" s="1"/>
    </row>
    <row r="20" spans="1:18" ht="130">
      <c r="A20" s="169" t="s">
        <v>127</v>
      </c>
      <c r="B20" s="91" t="s">
        <v>24</v>
      </c>
      <c r="C20" s="92" t="s">
        <v>183</v>
      </c>
      <c r="D20" s="59" t="s">
        <v>201</v>
      </c>
      <c r="E20" s="98" t="s">
        <v>202</v>
      </c>
      <c r="F20" s="98">
        <v>11</v>
      </c>
      <c r="G20" s="98" t="s">
        <v>203</v>
      </c>
      <c r="H20" s="93" t="s">
        <v>260</v>
      </c>
      <c r="I20" s="98">
        <v>0.13200000000000001</v>
      </c>
      <c r="J20" s="98" t="s">
        <v>205</v>
      </c>
      <c r="K20" s="103">
        <f t="shared" si="0"/>
        <v>1.452</v>
      </c>
      <c r="L20" s="94">
        <f t="shared" ref="L20:L21" si="3">SUM(K20)</f>
        <v>1.452</v>
      </c>
      <c r="M20" s="54"/>
      <c r="N20" s="1"/>
      <c r="O20" s="1"/>
      <c r="P20" s="1"/>
      <c r="Q20" s="1"/>
      <c r="R20" s="1"/>
    </row>
    <row r="21" spans="1:18" ht="65">
      <c r="A21" s="156"/>
      <c r="B21" s="104" t="s">
        <v>26</v>
      </c>
      <c r="C21" s="59" t="s">
        <v>206</v>
      </c>
      <c r="D21" s="59" t="s">
        <v>207</v>
      </c>
      <c r="E21" s="61" t="s">
        <v>208</v>
      </c>
      <c r="F21" s="61">
        <f>SUM(6700*15.6)</f>
        <v>104520</v>
      </c>
      <c r="G21" s="61" t="s">
        <v>73</v>
      </c>
      <c r="H21" s="61" t="s">
        <v>261</v>
      </c>
      <c r="I21" s="61">
        <v>0.108</v>
      </c>
      <c r="J21" s="61" t="s">
        <v>210</v>
      </c>
      <c r="K21" s="66">
        <f t="shared" si="0"/>
        <v>11288.16</v>
      </c>
      <c r="L21" s="105">
        <f t="shared" si="3"/>
        <v>11288.16</v>
      </c>
      <c r="M21" s="54"/>
      <c r="N21" s="1"/>
      <c r="O21" s="1"/>
      <c r="P21" s="1"/>
      <c r="Q21" s="1"/>
      <c r="R21" s="1"/>
    </row>
    <row r="22" spans="1:18" ht="130">
      <c r="A22" s="167" t="s">
        <v>165</v>
      </c>
      <c r="B22" s="168" t="s">
        <v>166</v>
      </c>
      <c r="C22" s="59" t="s">
        <v>185</v>
      </c>
      <c r="D22" s="59" t="s">
        <v>201</v>
      </c>
      <c r="E22" s="62" t="s">
        <v>202</v>
      </c>
      <c r="F22" s="62">
        <f>SUM(18.4*2*14)</f>
        <v>515.19999999999993</v>
      </c>
      <c r="G22" s="62" t="s">
        <v>203</v>
      </c>
      <c r="H22" s="78" t="s">
        <v>262</v>
      </c>
      <c r="I22" s="62">
        <v>0.13200000000000001</v>
      </c>
      <c r="J22" s="62" t="s">
        <v>205</v>
      </c>
      <c r="K22" s="63">
        <f t="shared" si="0"/>
        <v>68.006399999999999</v>
      </c>
      <c r="L22" s="170">
        <f>SUM(K22:K25)</f>
        <v>549.47707000000003</v>
      </c>
    </row>
    <row r="23" spans="1:18" ht="104">
      <c r="A23" s="158"/>
      <c r="B23" s="158"/>
      <c r="C23" s="150" t="s">
        <v>244</v>
      </c>
      <c r="D23" s="60" t="s">
        <v>245</v>
      </c>
      <c r="E23" s="61" t="s">
        <v>246</v>
      </c>
      <c r="F23" s="61">
        <f>SUM(((936*2.5*32.5)+(936*5*31))/1000000)</f>
        <v>0.22112999999999999</v>
      </c>
      <c r="G23" s="61" t="s">
        <v>220</v>
      </c>
      <c r="H23" s="64" t="s">
        <v>263</v>
      </c>
      <c r="I23" s="61">
        <v>919</v>
      </c>
      <c r="J23" s="61" t="s">
        <v>248</v>
      </c>
      <c r="K23" s="89">
        <f t="shared" si="0"/>
        <v>203.21847</v>
      </c>
      <c r="L23" s="155"/>
    </row>
    <row r="24" spans="1:18" ht="143">
      <c r="A24" s="158"/>
      <c r="B24" s="158"/>
      <c r="C24" s="140"/>
      <c r="D24" s="60" t="s">
        <v>254</v>
      </c>
      <c r="E24" s="61" t="s">
        <v>255</v>
      </c>
      <c r="F24" s="61">
        <f>SUM(((3*14*0.3)+(14*4)+(188*1))/1000)</f>
        <v>0.25660000000000005</v>
      </c>
      <c r="G24" s="61" t="s">
        <v>256</v>
      </c>
      <c r="H24" s="64" t="s">
        <v>264</v>
      </c>
      <c r="I24" s="61">
        <v>367</v>
      </c>
      <c r="J24" s="61" t="s">
        <v>258</v>
      </c>
      <c r="K24" s="66">
        <f t="shared" si="0"/>
        <v>94.172200000000018</v>
      </c>
      <c r="L24" s="155"/>
    </row>
    <row r="25" spans="1:18" ht="78">
      <c r="A25" s="159"/>
      <c r="B25" s="159"/>
      <c r="C25" s="75" t="s">
        <v>265</v>
      </c>
      <c r="D25" s="75" t="s">
        <v>231</v>
      </c>
      <c r="E25" s="71" t="s">
        <v>266</v>
      </c>
      <c r="F25" s="71">
        <f>SUM(936*0.5+4)</f>
        <v>472</v>
      </c>
      <c r="G25" s="71" t="s">
        <v>233</v>
      </c>
      <c r="H25" s="71" t="s">
        <v>267</v>
      </c>
      <c r="I25" s="71">
        <v>0.39</v>
      </c>
      <c r="J25" s="71" t="s">
        <v>235</v>
      </c>
      <c r="K25" s="106">
        <f t="shared" si="0"/>
        <v>184.08</v>
      </c>
      <c r="L25" s="156"/>
    </row>
    <row r="26" spans="1:18">
      <c r="A26" s="54"/>
      <c r="B26" s="54"/>
      <c r="C26" s="54"/>
      <c r="D26" s="73"/>
      <c r="E26" s="73"/>
      <c r="F26" s="73"/>
      <c r="G26" s="73"/>
      <c r="H26" s="61"/>
      <c r="I26" s="61"/>
      <c r="J26" s="61"/>
      <c r="K26" s="61"/>
      <c r="L26" s="61"/>
    </row>
    <row r="27" spans="1:18">
      <c r="A27" s="54"/>
      <c r="B27" s="54"/>
      <c r="C27" s="54"/>
      <c r="D27" s="73"/>
      <c r="E27" s="73"/>
      <c r="F27" s="73"/>
      <c r="G27" s="73"/>
      <c r="H27" s="61"/>
      <c r="I27" s="61"/>
      <c r="J27" s="61"/>
      <c r="K27" s="61"/>
      <c r="L27" s="61"/>
    </row>
    <row r="28" spans="1:18">
      <c r="A28" s="54"/>
      <c r="B28" s="54"/>
      <c r="C28" s="54"/>
      <c r="D28" s="73"/>
      <c r="E28" s="73"/>
      <c r="F28" s="73"/>
      <c r="G28" s="73"/>
      <c r="H28" s="61"/>
      <c r="I28" s="61"/>
      <c r="J28" s="61"/>
      <c r="K28" s="61"/>
      <c r="L28" s="61"/>
    </row>
    <row r="29" spans="1:18">
      <c r="A29" s="54"/>
      <c r="B29" s="54"/>
      <c r="C29" s="54"/>
      <c r="D29" s="73"/>
      <c r="E29" s="73"/>
      <c r="F29" s="73"/>
      <c r="G29" s="73"/>
      <c r="H29" s="61"/>
      <c r="I29" s="61"/>
      <c r="J29" s="61"/>
      <c r="K29" s="61"/>
      <c r="L29" s="61"/>
    </row>
    <row r="30" spans="1:18">
      <c r="A30" s="54"/>
      <c r="B30" s="54"/>
      <c r="C30" s="54"/>
      <c r="D30" s="73"/>
      <c r="E30" s="73"/>
      <c r="F30" s="73"/>
      <c r="G30" s="73"/>
      <c r="H30" s="74"/>
      <c r="I30" s="74"/>
      <c r="J30" s="74"/>
      <c r="K30" s="74"/>
      <c r="L30" s="74"/>
    </row>
    <row r="31" spans="1:18">
      <c r="A31" s="1"/>
      <c r="B31" s="1"/>
      <c r="C31" s="1"/>
    </row>
    <row r="32" spans="1:18">
      <c r="A32" s="1"/>
      <c r="B32" s="1"/>
      <c r="C32" s="1"/>
    </row>
    <row r="33" spans="1:3">
      <c r="A33" s="1"/>
      <c r="B33" s="1"/>
      <c r="C33" s="1"/>
    </row>
    <row r="34" spans="1:3">
      <c r="A34" s="1"/>
      <c r="B34" s="1"/>
      <c r="C34" s="1"/>
    </row>
  </sheetData>
  <mergeCells count="16">
    <mergeCell ref="A22:A25"/>
    <mergeCell ref="B22:B25"/>
    <mergeCell ref="C23:C24"/>
    <mergeCell ref="A1:L1"/>
    <mergeCell ref="A3:A6"/>
    <mergeCell ref="B3:B4"/>
    <mergeCell ref="L3:L4"/>
    <mergeCell ref="B5:B6"/>
    <mergeCell ref="A7:A19"/>
    <mergeCell ref="B9:B19"/>
    <mergeCell ref="A20:A21"/>
    <mergeCell ref="L5:L6"/>
    <mergeCell ref="L9:L19"/>
    <mergeCell ref="L22:L25"/>
    <mergeCell ref="C10:C15"/>
    <mergeCell ref="C16:C18"/>
  </mergeCells>
  <hyperlinks>
    <hyperlink ref="H3" r:id="rId1" xr:uid="{00000000-0004-0000-0400-000000000000}"/>
    <hyperlink ref="H5" r:id="rId2" xr:uid="{00000000-0004-0000-0400-000001000000}"/>
    <hyperlink ref="H7" r:id="rId3" xr:uid="{00000000-0004-0000-0400-000002000000}"/>
    <hyperlink ref="H8" r:id="rId4" xr:uid="{00000000-0004-0000-0400-000003000000}"/>
    <hyperlink ref="H9" r:id="rId5" xr:uid="{00000000-0004-0000-0400-000004000000}"/>
    <hyperlink ref="H10" r:id="rId6" xr:uid="{00000000-0004-0000-0400-000005000000}"/>
    <hyperlink ref="H16" r:id="rId7" xr:uid="{00000000-0004-0000-0400-000006000000}"/>
    <hyperlink ref="H18" r:id="rId8" xr:uid="{00000000-0004-0000-0400-000007000000}"/>
    <hyperlink ref="H20" r:id="rId9" xr:uid="{00000000-0004-0000-0400-000008000000}"/>
    <hyperlink ref="H22" r:id="rId10" xr:uid="{00000000-0004-0000-0400-000009000000}"/>
    <hyperlink ref="H23" r:id="rId11" xr:uid="{00000000-0004-0000-0400-00000A000000}"/>
    <hyperlink ref="H24" r:id="rId12" xr:uid="{00000000-0004-0000-0400-00000B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R17"/>
  <sheetViews>
    <sheetView workbookViewId="0">
      <selection activeCell="B2" sqref="B2"/>
    </sheetView>
  </sheetViews>
  <sheetFormatPr baseColWidth="10" defaultColWidth="12.6640625" defaultRowHeight="13"/>
  <cols>
    <col min="1" max="1" width="21.33203125" customWidth="1"/>
    <col min="2" max="2" width="22.1640625" customWidth="1"/>
    <col min="3" max="3" width="14.83203125" customWidth="1"/>
    <col min="4" max="4" width="42.6640625" customWidth="1"/>
    <col min="5" max="5" width="31" customWidth="1"/>
    <col min="6" max="7" width="24.33203125" customWidth="1"/>
    <col min="8" max="12" width="24.6640625" customWidth="1"/>
  </cols>
  <sheetData>
    <row r="1" spans="1:18" ht="26" customHeight="1">
      <c r="A1" s="151" t="s">
        <v>9</v>
      </c>
      <c r="B1" s="152"/>
      <c r="C1" s="152"/>
      <c r="D1" s="152"/>
      <c r="E1" s="152"/>
      <c r="F1" s="152"/>
      <c r="G1" s="152"/>
      <c r="H1" s="152"/>
      <c r="I1" s="152"/>
      <c r="J1" s="152"/>
      <c r="K1" s="152"/>
      <c r="L1" s="153"/>
      <c r="M1" s="54"/>
      <c r="N1" s="1"/>
      <c r="O1" s="1"/>
      <c r="P1" s="1"/>
      <c r="Q1" s="1"/>
      <c r="R1" s="1"/>
    </row>
    <row r="2" spans="1:18" ht="60">
      <c r="A2" s="56" t="s">
        <v>33</v>
      </c>
      <c r="B2" s="57" t="s">
        <v>34</v>
      </c>
      <c r="C2" s="57" t="s">
        <v>35</v>
      </c>
      <c r="D2" s="57" t="s">
        <v>36</v>
      </c>
      <c r="E2" s="57" t="s">
        <v>37</v>
      </c>
      <c r="F2" s="57" t="s">
        <v>38</v>
      </c>
      <c r="G2" s="57" t="s">
        <v>39</v>
      </c>
      <c r="H2" s="57" t="s">
        <v>40</v>
      </c>
      <c r="I2" s="57" t="s">
        <v>41</v>
      </c>
      <c r="J2" s="57" t="s">
        <v>77</v>
      </c>
      <c r="K2" s="58" t="s">
        <v>43</v>
      </c>
      <c r="L2" s="58" t="s">
        <v>44</v>
      </c>
      <c r="M2" s="54"/>
      <c r="O2" s="1"/>
      <c r="P2" s="1"/>
      <c r="Q2" s="1"/>
      <c r="R2" s="1"/>
    </row>
    <row r="3" spans="1:18" ht="104">
      <c r="A3" s="164" t="s">
        <v>13</v>
      </c>
      <c r="B3" s="104" t="s">
        <v>80</v>
      </c>
      <c r="C3" s="75" t="s">
        <v>268</v>
      </c>
      <c r="D3" s="75" t="s">
        <v>269</v>
      </c>
      <c r="E3" s="71" t="s">
        <v>270</v>
      </c>
      <c r="F3" s="71">
        <v>96</v>
      </c>
      <c r="G3" s="71" t="s">
        <v>271</v>
      </c>
      <c r="H3" s="71" t="s">
        <v>272</v>
      </c>
      <c r="I3" s="71">
        <v>14.7</v>
      </c>
      <c r="J3" s="71" t="s">
        <v>273</v>
      </c>
      <c r="K3" s="107">
        <f t="shared" ref="K3:K8" si="0">SUM(F3*I3)</f>
        <v>1411.1999999999998</v>
      </c>
      <c r="L3" s="108">
        <f t="shared" ref="L3:L4" si="1">SUM(K3)</f>
        <v>1411.1999999999998</v>
      </c>
      <c r="M3" s="54"/>
      <c r="O3" s="1"/>
      <c r="P3" s="1"/>
      <c r="Q3" s="1"/>
      <c r="R3" s="1"/>
    </row>
    <row r="4" spans="1:18" ht="104">
      <c r="A4" s="156"/>
      <c r="B4" s="104" t="s">
        <v>99</v>
      </c>
      <c r="C4" s="60" t="s">
        <v>268</v>
      </c>
      <c r="D4" s="60" t="s">
        <v>274</v>
      </c>
      <c r="E4" s="61" t="s">
        <v>270</v>
      </c>
      <c r="F4" s="61">
        <v>72</v>
      </c>
      <c r="G4" s="61" t="s">
        <v>271</v>
      </c>
      <c r="H4" s="71" t="s">
        <v>275</v>
      </c>
      <c r="I4" s="71">
        <v>14.7</v>
      </c>
      <c r="J4" s="61" t="s">
        <v>273</v>
      </c>
      <c r="K4" s="109">
        <f t="shared" si="0"/>
        <v>1058.3999999999999</v>
      </c>
      <c r="L4" s="108">
        <f t="shared" si="1"/>
        <v>1058.3999999999999</v>
      </c>
      <c r="M4" s="54"/>
      <c r="O4" s="1"/>
      <c r="P4" s="1"/>
      <c r="Q4" s="1"/>
      <c r="R4" s="1"/>
    </row>
    <row r="5" spans="1:18" ht="104">
      <c r="A5" s="165" t="s">
        <v>104</v>
      </c>
      <c r="B5" s="157" t="s">
        <v>115</v>
      </c>
      <c r="C5" s="59" t="s">
        <v>276</v>
      </c>
      <c r="D5" s="59" t="s">
        <v>274</v>
      </c>
      <c r="E5" s="62" t="s">
        <v>270</v>
      </c>
      <c r="F5" s="62">
        <v>520</v>
      </c>
      <c r="G5" s="62" t="s">
        <v>271</v>
      </c>
      <c r="H5" s="62" t="s">
        <v>277</v>
      </c>
      <c r="I5" s="61">
        <v>14.7</v>
      </c>
      <c r="J5" s="62" t="s">
        <v>273</v>
      </c>
      <c r="K5" s="67">
        <f t="shared" si="0"/>
        <v>7644</v>
      </c>
      <c r="L5" s="163">
        <f>SUM(K5:K8)</f>
        <v>10894.487999999999</v>
      </c>
      <c r="M5" s="54"/>
      <c r="N5" s="1"/>
      <c r="O5" s="1"/>
      <c r="P5" s="1"/>
      <c r="Q5" s="1"/>
      <c r="R5" s="1"/>
    </row>
    <row r="6" spans="1:18" ht="247">
      <c r="A6" s="155"/>
      <c r="B6" s="158"/>
      <c r="C6" s="60" t="s">
        <v>278</v>
      </c>
      <c r="D6" s="60" t="s">
        <v>274</v>
      </c>
      <c r="E6" s="61" t="s">
        <v>270</v>
      </c>
      <c r="F6" s="61">
        <v>160</v>
      </c>
      <c r="G6" s="61" t="s">
        <v>271</v>
      </c>
      <c r="H6" s="61" t="s">
        <v>279</v>
      </c>
      <c r="I6" s="61">
        <v>14.7</v>
      </c>
      <c r="J6" s="61" t="s">
        <v>273</v>
      </c>
      <c r="K6" s="66">
        <f t="shared" si="0"/>
        <v>2352</v>
      </c>
      <c r="L6" s="155"/>
      <c r="M6" s="54"/>
      <c r="N6" s="1"/>
      <c r="O6" s="1"/>
      <c r="P6" s="1"/>
      <c r="Q6" s="1"/>
      <c r="R6" s="1"/>
    </row>
    <row r="7" spans="1:18" ht="247">
      <c r="A7" s="155"/>
      <c r="B7" s="158"/>
      <c r="C7" s="150" t="s">
        <v>280</v>
      </c>
      <c r="D7" s="60" t="s">
        <v>281</v>
      </c>
      <c r="E7" s="61" t="s">
        <v>202</v>
      </c>
      <c r="F7" s="61">
        <f>SUM(36*18.4)</f>
        <v>662.4</v>
      </c>
      <c r="G7" s="61" t="s">
        <v>203</v>
      </c>
      <c r="H7" s="61" t="s">
        <v>282</v>
      </c>
      <c r="I7" s="61">
        <v>0.13200000000000001</v>
      </c>
      <c r="J7" s="61" t="s">
        <v>205</v>
      </c>
      <c r="K7" s="66">
        <f t="shared" si="0"/>
        <v>87.436800000000005</v>
      </c>
      <c r="L7" s="155"/>
      <c r="M7" s="54"/>
      <c r="N7" s="1"/>
      <c r="O7" s="1"/>
      <c r="P7" s="1"/>
      <c r="Q7" s="1"/>
      <c r="R7" s="1"/>
    </row>
    <row r="8" spans="1:18" ht="234">
      <c r="A8" s="156"/>
      <c r="B8" s="159"/>
      <c r="C8" s="160"/>
      <c r="D8" s="75" t="s">
        <v>283</v>
      </c>
      <c r="E8" s="71" t="s">
        <v>172</v>
      </c>
      <c r="F8" s="71">
        <f>SUM(60.4*36)</f>
        <v>2174.4</v>
      </c>
      <c r="G8" s="71" t="s">
        <v>173</v>
      </c>
      <c r="H8" s="71" t="s">
        <v>284</v>
      </c>
      <c r="I8" s="71">
        <v>0.373</v>
      </c>
      <c r="J8" s="71" t="s">
        <v>175</v>
      </c>
      <c r="K8" s="79">
        <f t="shared" si="0"/>
        <v>811.05119999999999</v>
      </c>
      <c r="L8" s="156"/>
      <c r="M8" s="54"/>
      <c r="N8" s="1"/>
      <c r="O8" s="1"/>
      <c r="P8" s="1"/>
      <c r="Q8" s="1"/>
      <c r="R8" s="1"/>
    </row>
    <row r="9" spans="1:18">
      <c r="A9" s="54"/>
      <c r="B9" s="54"/>
      <c r="C9" s="54"/>
      <c r="D9" s="73"/>
      <c r="E9" s="73"/>
      <c r="F9" s="73"/>
      <c r="G9" s="73"/>
      <c r="H9" s="61"/>
      <c r="I9" s="61"/>
      <c r="J9" s="61"/>
      <c r="K9" s="61"/>
      <c r="L9" s="61"/>
    </row>
    <row r="10" spans="1:18">
      <c r="A10" s="54"/>
      <c r="B10" s="54"/>
      <c r="C10" s="54"/>
      <c r="D10" s="73"/>
      <c r="E10" s="73"/>
      <c r="F10" s="73"/>
      <c r="G10" s="73"/>
      <c r="H10" s="61"/>
      <c r="I10" s="61"/>
      <c r="J10" s="61"/>
      <c r="K10" s="61"/>
      <c r="L10" s="61"/>
    </row>
    <row r="11" spans="1:18">
      <c r="A11" s="54"/>
      <c r="B11" s="54"/>
      <c r="C11" s="54"/>
      <c r="D11" s="73"/>
      <c r="E11" s="73"/>
      <c r="F11" s="73"/>
      <c r="G11" s="73"/>
      <c r="H11" s="61"/>
      <c r="I11" s="61"/>
      <c r="J11" s="61"/>
      <c r="K11" s="61"/>
      <c r="L11" s="61"/>
    </row>
    <row r="12" spans="1:18">
      <c r="A12" s="54"/>
      <c r="B12" s="54"/>
      <c r="C12" s="54"/>
      <c r="D12" s="73"/>
      <c r="E12" s="73"/>
      <c r="F12" s="73"/>
      <c r="G12" s="73"/>
      <c r="H12" s="61"/>
      <c r="I12" s="61"/>
      <c r="J12" s="61"/>
      <c r="K12" s="61"/>
      <c r="L12" s="61"/>
    </row>
    <row r="13" spans="1:18">
      <c r="A13" s="54"/>
      <c r="B13" s="54"/>
      <c r="C13" s="54"/>
      <c r="D13" s="73"/>
      <c r="E13" s="73"/>
      <c r="F13" s="73"/>
      <c r="G13" s="73"/>
      <c r="H13" s="74"/>
      <c r="I13" s="74"/>
      <c r="J13" s="74"/>
      <c r="K13" s="74"/>
      <c r="L13" s="74"/>
    </row>
    <row r="14" spans="1:18">
      <c r="A14" s="1"/>
      <c r="B14" s="1"/>
      <c r="C14" s="1"/>
    </row>
    <row r="15" spans="1:18">
      <c r="A15" s="1"/>
      <c r="B15" s="1"/>
      <c r="C15" s="1"/>
    </row>
    <row r="16" spans="1:18">
      <c r="A16" s="1"/>
      <c r="B16" s="1"/>
      <c r="C16" s="1"/>
    </row>
    <row r="17" spans="1:3">
      <c r="A17" s="1"/>
      <c r="B17" s="1"/>
      <c r="C17" s="1"/>
    </row>
  </sheetData>
  <mergeCells count="6">
    <mergeCell ref="A1:L1"/>
    <mergeCell ref="A3:A4"/>
    <mergeCell ref="A5:A8"/>
    <mergeCell ref="B5:B8"/>
    <mergeCell ref="L5:L8"/>
    <mergeCell ref="C7:C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V45"/>
  <sheetViews>
    <sheetView topLeftCell="D1" workbookViewId="0">
      <selection activeCell="M1" sqref="L1:M1048576"/>
    </sheetView>
  </sheetViews>
  <sheetFormatPr baseColWidth="10" defaultColWidth="17" defaultRowHeight="13"/>
  <cols>
    <col min="12" max="13" width="0" hidden="1" customWidth="1"/>
  </cols>
  <sheetData>
    <row r="1" spans="1:22" ht="126">
      <c r="A1" s="110" t="s">
        <v>285</v>
      </c>
      <c r="B1" s="111" t="s">
        <v>286</v>
      </c>
      <c r="C1" s="112"/>
      <c r="D1" s="112"/>
      <c r="E1" s="172" t="s">
        <v>287</v>
      </c>
      <c r="F1" s="153"/>
      <c r="G1" s="173" t="s">
        <v>288</v>
      </c>
      <c r="H1" s="153"/>
      <c r="I1" s="173" t="s">
        <v>289</v>
      </c>
      <c r="J1" s="153"/>
      <c r="N1" s="113" t="s">
        <v>290</v>
      </c>
    </row>
    <row r="2" spans="1:22" ht="42">
      <c r="A2" s="114" t="s">
        <v>291</v>
      </c>
      <c r="B2" s="115" t="s">
        <v>292</v>
      </c>
      <c r="C2" s="115" t="s">
        <v>293</v>
      </c>
      <c r="D2" s="115" t="s">
        <v>294</v>
      </c>
      <c r="E2" s="116" t="s">
        <v>295</v>
      </c>
      <c r="F2" s="116" t="s">
        <v>296</v>
      </c>
      <c r="G2" s="116" t="s">
        <v>295</v>
      </c>
      <c r="H2" s="116" t="s">
        <v>296</v>
      </c>
      <c r="I2" s="116" t="s">
        <v>295</v>
      </c>
      <c r="J2" s="116" t="s">
        <v>296</v>
      </c>
      <c r="N2" s="117" t="s">
        <v>297</v>
      </c>
      <c r="O2" s="117" t="s">
        <v>292</v>
      </c>
      <c r="P2" s="1" t="s">
        <v>298</v>
      </c>
      <c r="Q2" s="1" t="s">
        <v>299</v>
      </c>
      <c r="R2" s="1" t="s">
        <v>300</v>
      </c>
      <c r="S2" s="118" t="s">
        <v>301</v>
      </c>
      <c r="V2" s="1" t="s">
        <v>302</v>
      </c>
    </row>
    <row r="3" spans="1:22" ht="75">
      <c r="A3" s="171" t="s">
        <v>303</v>
      </c>
      <c r="B3" s="119" t="s">
        <v>304</v>
      </c>
      <c r="C3" s="119" t="s">
        <v>305</v>
      </c>
      <c r="D3" s="119" t="s">
        <v>306</v>
      </c>
      <c r="E3" s="120">
        <v>5</v>
      </c>
      <c r="F3" s="120">
        <v>40</v>
      </c>
      <c r="G3" s="120">
        <v>53</v>
      </c>
      <c r="H3" s="120">
        <v>90</v>
      </c>
      <c r="I3" s="120">
        <v>62</v>
      </c>
      <c r="J3" s="120">
        <v>100</v>
      </c>
      <c r="N3" s="171" t="s">
        <v>303</v>
      </c>
      <c r="O3" s="118" t="s">
        <v>307</v>
      </c>
      <c r="P3" s="118">
        <v>2.5</v>
      </c>
      <c r="Q3" s="118">
        <v>31.5</v>
      </c>
      <c r="R3" s="118">
        <v>63.5</v>
      </c>
      <c r="S3" s="118">
        <f t="shared" ref="S3:S5" si="0">SUM(P3:R3)</f>
        <v>97.5</v>
      </c>
      <c r="V3" s="121">
        <v>244</v>
      </c>
    </row>
    <row r="4" spans="1:22" ht="91">
      <c r="A4" s="155"/>
      <c r="B4" s="119" t="s">
        <v>308</v>
      </c>
      <c r="C4" s="119" t="s">
        <v>309</v>
      </c>
      <c r="D4" s="122" t="s">
        <v>310</v>
      </c>
      <c r="E4" s="123" t="s">
        <v>311</v>
      </c>
      <c r="F4" s="123" t="s">
        <v>311</v>
      </c>
      <c r="G4" s="120">
        <v>10</v>
      </c>
      <c r="H4" s="120">
        <v>20</v>
      </c>
      <c r="I4" s="120">
        <v>65</v>
      </c>
      <c r="J4" s="120">
        <v>120</v>
      </c>
      <c r="N4" s="155"/>
      <c r="O4" s="118" t="s">
        <v>312</v>
      </c>
      <c r="P4" s="118">
        <v>0.5</v>
      </c>
      <c r="Q4" s="118">
        <v>0</v>
      </c>
      <c r="R4" s="118">
        <v>65</v>
      </c>
      <c r="S4" s="118">
        <f t="shared" si="0"/>
        <v>65.5</v>
      </c>
    </row>
    <row r="5" spans="1:22" ht="45">
      <c r="A5" s="155"/>
      <c r="B5" s="119" t="s">
        <v>313</v>
      </c>
      <c r="C5" s="119" t="s">
        <v>314</v>
      </c>
      <c r="D5" s="119" t="s">
        <v>315</v>
      </c>
      <c r="E5" s="120">
        <v>0.5</v>
      </c>
      <c r="F5" s="120">
        <v>5</v>
      </c>
      <c r="G5" s="123" t="s">
        <v>311</v>
      </c>
      <c r="H5" s="123" t="s">
        <v>311</v>
      </c>
      <c r="I5" s="120">
        <v>40</v>
      </c>
      <c r="J5" s="120">
        <v>2</v>
      </c>
      <c r="N5" s="155"/>
      <c r="O5" s="118" t="s">
        <v>316</v>
      </c>
      <c r="P5" s="118">
        <v>0.3</v>
      </c>
      <c r="Q5" s="118">
        <v>10</v>
      </c>
      <c r="R5" s="118">
        <v>0</v>
      </c>
      <c r="S5" s="118">
        <f t="shared" si="0"/>
        <v>10.3</v>
      </c>
    </row>
    <row r="6" spans="1:22" ht="45">
      <c r="A6" s="156"/>
      <c r="B6" s="119" t="s">
        <v>317</v>
      </c>
      <c r="C6" s="119" t="s">
        <v>318</v>
      </c>
      <c r="D6" s="119" t="s">
        <v>319</v>
      </c>
      <c r="E6" s="120">
        <v>0.3</v>
      </c>
      <c r="F6" s="120">
        <v>7</v>
      </c>
      <c r="G6" s="120">
        <v>10</v>
      </c>
      <c r="H6" s="120">
        <v>20</v>
      </c>
      <c r="I6" s="123" t="s">
        <v>311</v>
      </c>
      <c r="J6" s="123" t="s">
        <v>311</v>
      </c>
      <c r="N6" s="156"/>
    </row>
    <row r="7" spans="1:22">
      <c r="A7" s="124"/>
      <c r="B7" s="124"/>
      <c r="C7" s="124"/>
      <c r="D7" s="124"/>
      <c r="E7" s="124"/>
      <c r="F7" s="124"/>
      <c r="G7" s="124"/>
      <c r="H7" s="124"/>
      <c r="I7" s="124"/>
      <c r="J7" s="124"/>
      <c r="N7" s="124"/>
      <c r="O7" s="124"/>
      <c r="P7" s="124"/>
      <c r="Q7" s="124"/>
      <c r="R7" s="124"/>
    </row>
    <row r="8" spans="1:22" ht="75">
      <c r="A8" s="171" t="s">
        <v>320</v>
      </c>
      <c r="B8" s="119" t="s">
        <v>304</v>
      </c>
      <c r="C8" s="119" t="s">
        <v>321</v>
      </c>
      <c r="D8" s="119" t="s">
        <v>322</v>
      </c>
      <c r="E8" s="120">
        <v>5</v>
      </c>
      <c r="F8" s="120">
        <v>40</v>
      </c>
      <c r="G8" s="120">
        <v>15</v>
      </c>
      <c r="H8" s="120">
        <v>25</v>
      </c>
      <c r="I8" s="120">
        <v>30</v>
      </c>
      <c r="J8" s="120">
        <v>105</v>
      </c>
      <c r="N8" s="171" t="s">
        <v>320</v>
      </c>
      <c r="O8" s="118" t="s">
        <v>307</v>
      </c>
      <c r="P8" s="118">
        <v>2.5</v>
      </c>
      <c r="Q8" s="118">
        <v>27.5</v>
      </c>
      <c r="R8" s="118">
        <v>15</v>
      </c>
      <c r="S8" s="118">
        <f t="shared" ref="S8:S10" si="1">SUM(P8:R8)</f>
        <v>45</v>
      </c>
      <c r="V8" s="121">
        <v>119</v>
      </c>
    </row>
    <row r="9" spans="1:22" ht="90">
      <c r="A9" s="155"/>
      <c r="B9" s="119" t="s">
        <v>308</v>
      </c>
      <c r="C9" s="119" t="s">
        <v>323</v>
      </c>
      <c r="D9" s="119" t="s">
        <v>324</v>
      </c>
      <c r="E9" s="123" t="s">
        <v>311</v>
      </c>
      <c r="F9" s="123" t="s">
        <v>311</v>
      </c>
      <c r="G9" s="120">
        <v>40</v>
      </c>
      <c r="H9" s="120">
        <v>90</v>
      </c>
      <c r="I9" s="123" t="s">
        <v>311</v>
      </c>
      <c r="J9" s="123" t="s">
        <v>311</v>
      </c>
      <c r="N9" s="155"/>
      <c r="O9" s="118" t="s">
        <v>312</v>
      </c>
      <c r="P9" s="118">
        <v>0</v>
      </c>
      <c r="Q9" s="118">
        <v>20</v>
      </c>
      <c r="R9" s="118">
        <v>0</v>
      </c>
      <c r="S9" s="118">
        <f t="shared" si="1"/>
        <v>20</v>
      </c>
    </row>
    <row r="10" spans="1:22" ht="45">
      <c r="A10" s="155"/>
      <c r="B10" s="119" t="s">
        <v>313</v>
      </c>
      <c r="C10" s="119" t="s">
        <v>325</v>
      </c>
      <c r="D10" s="119" t="s">
        <v>326</v>
      </c>
      <c r="E10" s="123" t="s">
        <v>311</v>
      </c>
      <c r="F10" s="123" t="s">
        <v>311</v>
      </c>
      <c r="G10" s="120">
        <v>20</v>
      </c>
      <c r="H10" s="120">
        <v>30</v>
      </c>
      <c r="I10" s="123" t="s">
        <v>311</v>
      </c>
      <c r="J10" s="123" t="s">
        <v>311</v>
      </c>
      <c r="N10" s="155"/>
      <c r="O10" s="118" t="s">
        <v>316</v>
      </c>
      <c r="P10" s="118">
        <v>2.5</v>
      </c>
      <c r="Q10" s="118">
        <v>30</v>
      </c>
      <c r="R10" s="118">
        <v>0</v>
      </c>
      <c r="S10" s="118">
        <f t="shared" si="1"/>
        <v>32.5</v>
      </c>
    </row>
    <row r="11" spans="1:22" ht="45">
      <c r="A11" s="156"/>
      <c r="B11" s="119" t="s">
        <v>317</v>
      </c>
      <c r="C11" s="119" t="s">
        <v>327</v>
      </c>
      <c r="D11" s="119" t="s">
        <v>328</v>
      </c>
      <c r="E11" s="120">
        <v>2.5</v>
      </c>
      <c r="F11" s="120">
        <v>20</v>
      </c>
      <c r="G11" s="120">
        <v>30</v>
      </c>
      <c r="H11" s="120">
        <v>40</v>
      </c>
      <c r="I11" s="123" t="s">
        <v>311</v>
      </c>
      <c r="J11" s="123" t="s">
        <v>311</v>
      </c>
      <c r="N11" s="156"/>
    </row>
    <row r="12" spans="1:22">
      <c r="A12" s="124"/>
      <c r="B12" s="124"/>
      <c r="C12" s="124"/>
      <c r="D12" s="124"/>
      <c r="E12" s="124"/>
      <c r="F12" s="124"/>
      <c r="G12" s="124"/>
      <c r="H12" s="124"/>
      <c r="I12" s="124"/>
      <c r="J12" s="124"/>
      <c r="N12" s="124"/>
      <c r="O12" s="124"/>
      <c r="P12" s="124"/>
      <c r="Q12" s="124"/>
      <c r="R12" s="124"/>
    </row>
    <row r="13" spans="1:22" ht="75">
      <c r="A13" s="171" t="s">
        <v>329</v>
      </c>
      <c r="B13" s="119" t="s">
        <v>304</v>
      </c>
      <c r="C13" s="119" t="s">
        <v>330</v>
      </c>
      <c r="D13" s="119" t="s">
        <v>331</v>
      </c>
      <c r="E13" s="120">
        <v>4</v>
      </c>
      <c r="F13" s="120">
        <v>40</v>
      </c>
      <c r="G13" s="123" t="s">
        <v>311</v>
      </c>
      <c r="H13" s="123" t="s">
        <v>311</v>
      </c>
      <c r="I13" s="120">
        <v>20</v>
      </c>
      <c r="J13" s="120">
        <v>40</v>
      </c>
      <c r="N13" s="171" t="s">
        <v>329</v>
      </c>
      <c r="O13" s="118" t="s">
        <v>307</v>
      </c>
      <c r="P13" s="118">
        <v>2</v>
      </c>
      <c r="Q13" s="118">
        <v>5</v>
      </c>
      <c r="R13" s="118">
        <v>10</v>
      </c>
      <c r="S13" s="118">
        <f t="shared" ref="S13:S15" si="2">SUM(P13:R13)</f>
        <v>17</v>
      </c>
      <c r="V13" s="121">
        <v>32.799999999999997</v>
      </c>
    </row>
    <row r="14" spans="1:22" ht="90">
      <c r="A14" s="155"/>
      <c r="B14" s="119" t="s">
        <v>308</v>
      </c>
      <c r="C14" s="119" t="s">
        <v>332</v>
      </c>
      <c r="D14" s="119" t="s">
        <v>333</v>
      </c>
      <c r="E14" s="123" t="s">
        <v>311</v>
      </c>
      <c r="F14" s="123" t="s">
        <v>311</v>
      </c>
      <c r="G14" s="120">
        <v>10</v>
      </c>
      <c r="H14" s="120">
        <v>15</v>
      </c>
      <c r="I14" s="123" t="s">
        <v>311</v>
      </c>
      <c r="J14" s="123" t="s">
        <v>311</v>
      </c>
      <c r="N14" s="155"/>
      <c r="O14" s="118" t="s">
        <v>312</v>
      </c>
      <c r="P14" s="118">
        <v>0</v>
      </c>
      <c r="Q14" s="118">
        <v>16</v>
      </c>
      <c r="R14" s="118">
        <v>0</v>
      </c>
      <c r="S14" s="118">
        <f t="shared" si="2"/>
        <v>16</v>
      </c>
    </row>
    <row r="15" spans="1:22" ht="45">
      <c r="A15" s="155"/>
      <c r="B15" s="119" t="s">
        <v>313</v>
      </c>
      <c r="C15" s="119" t="s">
        <v>334</v>
      </c>
      <c r="D15" s="119" t="s">
        <v>335</v>
      </c>
      <c r="E15" s="123" t="s">
        <v>311</v>
      </c>
      <c r="F15" s="123" t="s">
        <v>311</v>
      </c>
      <c r="G15" s="120">
        <v>16</v>
      </c>
      <c r="H15" s="120">
        <v>40</v>
      </c>
      <c r="I15" s="123" t="s">
        <v>311</v>
      </c>
      <c r="J15" s="123" t="s">
        <v>311</v>
      </c>
      <c r="N15" s="155"/>
      <c r="O15" s="118" t="s">
        <v>316</v>
      </c>
      <c r="P15" s="118">
        <v>0</v>
      </c>
      <c r="Q15" s="118">
        <v>3</v>
      </c>
      <c r="R15" s="118">
        <v>20</v>
      </c>
      <c r="S15" s="118">
        <f t="shared" si="2"/>
        <v>23</v>
      </c>
    </row>
    <row r="16" spans="1:22" ht="45">
      <c r="A16" s="156"/>
      <c r="B16" s="119" t="s">
        <v>317</v>
      </c>
      <c r="C16" s="119" t="s">
        <v>336</v>
      </c>
      <c r="D16" s="119" t="s">
        <v>337</v>
      </c>
      <c r="E16" s="123" t="s">
        <v>311</v>
      </c>
      <c r="F16" s="123" t="s">
        <v>311</v>
      </c>
      <c r="G16" s="120">
        <v>3</v>
      </c>
      <c r="H16" s="120">
        <v>10</v>
      </c>
      <c r="I16" s="120">
        <v>20</v>
      </c>
      <c r="J16" s="120">
        <v>40</v>
      </c>
      <c r="N16" s="156"/>
    </row>
    <row r="17" spans="1:22">
      <c r="A17" s="124"/>
      <c r="B17" s="124"/>
      <c r="C17" s="124"/>
      <c r="D17" s="124"/>
      <c r="E17" s="124"/>
      <c r="F17" s="124"/>
      <c r="G17" s="124"/>
      <c r="H17" s="124"/>
      <c r="I17" s="124"/>
      <c r="J17" s="124"/>
      <c r="N17" s="124"/>
      <c r="O17" s="124"/>
      <c r="P17" s="124"/>
      <c r="Q17" s="124"/>
      <c r="R17" s="124"/>
    </row>
    <row r="18" spans="1:22" ht="75">
      <c r="A18" s="171" t="s">
        <v>338</v>
      </c>
      <c r="B18" s="119" t="s">
        <v>304</v>
      </c>
      <c r="C18" s="119" t="s">
        <v>339</v>
      </c>
      <c r="D18" s="119" t="s">
        <v>340</v>
      </c>
      <c r="E18" s="123" t="s">
        <v>311</v>
      </c>
      <c r="F18" s="123" t="s">
        <v>311</v>
      </c>
      <c r="G18" s="120">
        <v>20</v>
      </c>
      <c r="H18" s="120">
        <v>40</v>
      </c>
      <c r="I18" s="123" t="s">
        <v>311</v>
      </c>
      <c r="J18" s="123" t="s">
        <v>311</v>
      </c>
      <c r="N18" s="171" t="s">
        <v>338</v>
      </c>
      <c r="O18" s="118" t="s">
        <v>307</v>
      </c>
      <c r="P18" s="118">
        <v>0</v>
      </c>
      <c r="Q18" s="118">
        <v>15</v>
      </c>
      <c r="R18" s="118">
        <v>7.5</v>
      </c>
      <c r="S18" s="118">
        <f t="shared" ref="S18:S20" si="3">SUM(P18:R18)</f>
        <v>22.5</v>
      </c>
      <c r="V18" s="121">
        <v>62.6</v>
      </c>
    </row>
    <row r="19" spans="1:22" ht="90">
      <c r="A19" s="155"/>
      <c r="B19" s="119" t="s">
        <v>308</v>
      </c>
      <c r="C19" s="119" t="s">
        <v>341</v>
      </c>
      <c r="D19" s="119" t="s">
        <v>342</v>
      </c>
      <c r="E19" s="123" t="s">
        <v>311</v>
      </c>
      <c r="F19" s="123" t="s">
        <v>311</v>
      </c>
      <c r="G19" s="120">
        <v>10</v>
      </c>
      <c r="H19" s="120">
        <v>20</v>
      </c>
      <c r="I19" s="120">
        <v>15</v>
      </c>
      <c r="J19" s="120">
        <v>50</v>
      </c>
      <c r="N19" s="155"/>
      <c r="O19" s="118" t="s">
        <v>312</v>
      </c>
      <c r="P19" s="118">
        <v>0</v>
      </c>
      <c r="Q19" s="118">
        <v>25</v>
      </c>
      <c r="R19" s="118">
        <v>0</v>
      </c>
      <c r="S19" s="118">
        <f t="shared" si="3"/>
        <v>25</v>
      </c>
    </row>
    <row r="20" spans="1:22" ht="45">
      <c r="A20" s="155"/>
      <c r="B20" s="119" t="s">
        <v>313</v>
      </c>
      <c r="C20" s="119" t="s">
        <v>343</v>
      </c>
      <c r="D20" s="119" t="s">
        <v>344</v>
      </c>
      <c r="E20" s="123" t="s">
        <v>311</v>
      </c>
      <c r="F20" s="123" t="s">
        <v>311</v>
      </c>
      <c r="G20" s="120">
        <v>25</v>
      </c>
      <c r="H20" s="120">
        <v>40</v>
      </c>
      <c r="I20" s="123" t="s">
        <v>311</v>
      </c>
      <c r="J20" s="123" t="s">
        <v>311</v>
      </c>
      <c r="N20" s="155"/>
      <c r="O20" s="118" t="s">
        <v>316</v>
      </c>
      <c r="P20" s="118">
        <v>2</v>
      </c>
      <c r="Q20" s="118">
        <v>2</v>
      </c>
      <c r="R20" s="118">
        <v>0</v>
      </c>
      <c r="S20" s="118">
        <f t="shared" si="3"/>
        <v>4</v>
      </c>
    </row>
    <row r="21" spans="1:22" ht="45">
      <c r="A21" s="156"/>
      <c r="B21" s="119" t="s">
        <v>317</v>
      </c>
      <c r="C21" s="119" t="s">
        <v>345</v>
      </c>
      <c r="D21" s="119" t="s">
        <v>346</v>
      </c>
      <c r="E21" s="120">
        <v>2</v>
      </c>
      <c r="F21" s="120">
        <v>20</v>
      </c>
      <c r="G21" s="120">
        <v>2</v>
      </c>
      <c r="H21" s="120">
        <v>10</v>
      </c>
      <c r="I21" s="123" t="s">
        <v>311</v>
      </c>
      <c r="J21" s="123" t="s">
        <v>311</v>
      </c>
      <c r="N21" s="156"/>
    </row>
    <row r="22" spans="1:22">
      <c r="A22" s="124"/>
      <c r="B22" s="124"/>
      <c r="C22" s="124"/>
      <c r="D22" s="124"/>
      <c r="E22" s="124"/>
      <c r="F22" s="124"/>
      <c r="G22" s="124"/>
      <c r="H22" s="124"/>
      <c r="I22" s="124"/>
      <c r="J22" s="124"/>
      <c r="N22" s="124"/>
      <c r="O22" s="124"/>
      <c r="P22" s="124"/>
      <c r="Q22" s="124"/>
      <c r="R22" s="124"/>
    </row>
    <row r="23" spans="1:22" ht="75">
      <c r="A23" s="171" t="s">
        <v>347</v>
      </c>
      <c r="B23" s="119" t="s">
        <v>304</v>
      </c>
      <c r="C23" s="119" t="s">
        <v>348</v>
      </c>
      <c r="D23" s="119" t="s">
        <v>349</v>
      </c>
      <c r="E23" s="123" t="s">
        <v>311</v>
      </c>
      <c r="F23" s="123" t="s">
        <v>311</v>
      </c>
      <c r="G23" s="120">
        <v>50</v>
      </c>
      <c r="H23" s="120">
        <v>60</v>
      </c>
      <c r="I23" s="120">
        <v>20</v>
      </c>
      <c r="J23" s="120">
        <v>40</v>
      </c>
      <c r="N23" s="171" t="s">
        <v>347</v>
      </c>
      <c r="O23" s="118" t="s">
        <v>307</v>
      </c>
      <c r="P23" s="118">
        <v>1</v>
      </c>
      <c r="Q23" s="118">
        <v>37.5</v>
      </c>
      <c r="R23" s="118">
        <v>10</v>
      </c>
      <c r="S23" s="118">
        <f t="shared" ref="S23:S25" si="4">SUM(P23:R23)</f>
        <v>48.5</v>
      </c>
      <c r="V23" s="121">
        <v>68.599999999999994</v>
      </c>
    </row>
    <row r="24" spans="1:22" ht="90">
      <c r="A24" s="155"/>
      <c r="B24" s="119" t="s">
        <v>308</v>
      </c>
      <c r="C24" s="119" t="s">
        <v>350</v>
      </c>
      <c r="D24" s="119" t="s">
        <v>351</v>
      </c>
      <c r="E24" s="120">
        <v>2</v>
      </c>
      <c r="F24" s="120">
        <v>20</v>
      </c>
      <c r="G24" s="120">
        <v>25</v>
      </c>
      <c r="H24" s="120">
        <v>35</v>
      </c>
      <c r="I24" s="123" t="s">
        <v>311</v>
      </c>
      <c r="J24" s="123" t="s">
        <v>311</v>
      </c>
      <c r="N24" s="155"/>
      <c r="O24" s="118" t="s">
        <v>312</v>
      </c>
      <c r="P24" s="118">
        <v>0</v>
      </c>
      <c r="Q24" s="118">
        <v>20</v>
      </c>
      <c r="R24" s="118">
        <v>0</v>
      </c>
      <c r="S24" s="118">
        <f t="shared" si="4"/>
        <v>20</v>
      </c>
    </row>
    <row r="25" spans="1:22" ht="45">
      <c r="A25" s="155"/>
      <c r="B25" s="119" t="s">
        <v>313</v>
      </c>
      <c r="C25" s="119" t="s">
        <v>352</v>
      </c>
      <c r="D25" s="119" t="s">
        <v>353</v>
      </c>
      <c r="E25" s="123" t="s">
        <v>311</v>
      </c>
      <c r="F25" s="123" t="s">
        <v>311</v>
      </c>
      <c r="G25" s="120">
        <v>20</v>
      </c>
      <c r="H25" s="120">
        <v>30</v>
      </c>
      <c r="I25" s="123" t="s">
        <v>311</v>
      </c>
      <c r="J25" s="123" t="s">
        <v>311</v>
      </c>
      <c r="N25" s="155"/>
      <c r="O25" s="118" t="s">
        <v>316</v>
      </c>
      <c r="P25" s="118">
        <v>0</v>
      </c>
      <c r="Q25" s="118">
        <v>1</v>
      </c>
      <c r="R25" s="118">
        <v>3</v>
      </c>
      <c r="S25" s="118">
        <f t="shared" si="4"/>
        <v>4</v>
      </c>
    </row>
    <row r="26" spans="1:22" ht="45">
      <c r="A26" s="156"/>
      <c r="B26" s="119" t="s">
        <v>317</v>
      </c>
      <c r="C26" s="119" t="s">
        <v>354</v>
      </c>
      <c r="D26" s="119" t="s">
        <v>355</v>
      </c>
      <c r="E26" s="123" t="s">
        <v>311</v>
      </c>
      <c r="F26" s="123" t="s">
        <v>311</v>
      </c>
      <c r="G26" s="120">
        <v>1</v>
      </c>
      <c r="H26" s="120">
        <v>5</v>
      </c>
      <c r="I26" s="120">
        <v>3</v>
      </c>
      <c r="J26" s="120">
        <v>10</v>
      </c>
      <c r="N26" s="156"/>
    </row>
    <row r="27" spans="1:22">
      <c r="A27" s="124"/>
      <c r="B27" s="124"/>
      <c r="C27" s="124"/>
      <c r="D27" s="124"/>
      <c r="E27" s="124"/>
      <c r="F27" s="124"/>
      <c r="G27" s="124"/>
      <c r="H27" s="124"/>
      <c r="I27" s="124"/>
      <c r="J27" s="124"/>
      <c r="N27" s="124"/>
      <c r="O27" s="124"/>
      <c r="P27" s="124"/>
      <c r="Q27" s="124"/>
      <c r="R27" s="124"/>
    </row>
    <row r="28" spans="1:22" ht="75">
      <c r="A28" s="171" t="s">
        <v>356</v>
      </c>
      <c r="B28" s="119" t="s">
        <v>304</v>
      </c>
      <c r="C28" s="119" t="s">
        <v>357</v>
      </c>
      <c r="D28" s="119" t="s">
        <v>358</v>
      </c>
      <c r="E28" s="123" t="s">
        <v>311</v>
      </c>
      <c r="F28" s="123" t="s">
        <v>311</v>
      </c>
      <c r="G28" s="120">
        <v>7</v>
      </c>
      <c r="H28" s="120">
        <v>15</v>
      </c>
      <c r="I28" s="120">
        <v>12</v>
      </c>
      <c r="J28" s="120">
        <v>40</v>
      </c>
      <c r="N28" s="171" t="s">
        <v>356</v>
      </c>
      <c r="O28" s="118" t="s">
        <v>307</v>
      </c>
      <c r="P28" s="118">
        <v>2.5</v>
      </c>
      <c r="Q28" s="118">
        <v>3.5</v>
      </c>
      <c r="R28" s="118">
        <v>13.5</v>
      </c>
      <c r="S28" s="118">
        <f t="shared" ref="S28:S30" si="5">SUM(P28:R28)</f>
        <v>19.5</v>
      </c>
      <c r="V28" s="121">
        <v>96.4</v>
      </c>
    </row>
    <row r="29" spans="1:22" ht="90">
      <c r="A29" s="155"/>
      <c r="B29" s="119" t="s">
        <v>308</v>
      </c>
      <c r="C29" s="119" t="s">
        <v>359</v>
      </c>
      <c r="D29" s="119" t="s">
        <v>360</v>
      </c>
      <c r="E29" s="120">
        <v>5</v>
      </c>
      <c r="F29" s="120">
        <v>30</v>
      </c>
      <c r="G29" s="123" t="s">
        <v>311</v>
      </c>
      <c r="H29" s="123" t="s">
        <v>311</v>
      </c>
      <c r="I29" s="120">
        <v>15</v>
      </c>
      <c r="J29" s="120">
        <v>40</v>
      </c>
      <c r="N29" s="155"/>
      <c r="O29" s="118" t="s">
        <v>312</v>
      </c>
      <c r="P29" s="118">
        <v>0</v>
      </c>
      <c r="Q29" s="118">
        <v>10</v>
      </c>
      <c r="R29" s="118">
        <v>0</v>
      </c>
      <c r="S29" s="118">
        <f t="shared" si="5"/>
        <v>10</v>
      </c>
    </row>
    <row r="30" spans="1:22" ht="45">
      <c r="A30" s="155"/>
      <c r="B30" s="119" t="s">
        <v>313</v>
      </c>
      <c r="C30" s="119" t="s">
        <v>361</v>
      </c>
      <c r="D30" s="119" t="s">
        <v>362</v>
      </c>
      <c r="E30" s="123" t="s">
        <v>311</v>
      </c>
      <c r="F30" s="123" t="s">
        <v>311</v>
      </c>
      <c r="G30" s="120">
        <v>10</v>
      </c>
      <c r="H30" s="120">
        <v>20</v>
      </c>
      <c r="I30" s="123" t="s">
        <v>311</v>
      </c>
      <c r="J30" s="123" t="s">
        <v>311</v>
      </c>
      <c r="N30" s="155"/>
      <c r="O30" s="118" t="s">
        <v>316</v>
      </c>
      <c r="P30" s="118">
        <v>0</v>
      </c>
      <c r="Q30" s="118">
        <v>10</v>
      </c>
      <c r="R30" s="118">
        <v>0</v>
      </c>
      <c r="S30" s="118">
        <f t="shared" si="5"/>
        <v>10</v>
      </c>
    </row>
    <row r="31" spans="1:22" ht="60">
      <c r="A31" s="156"/>
      <c r="B31" s="119" t="s">
        <v>317</v>
      </c>
      <c r="C31" s="119" t="s">
        <v>363</v>
      </c>
      <c r="D31" s="119" t="s">
        <v>364</v>
      </c>
      <c r="E31" s="123" t="s">
        <v>311</v>
      </c>
      <c r="F31" s="123" t="s">
        <v>311</v>
      </c>
      <c r="G31" s="120">
        <v>10</v>
      </c>
      <c r="H31" s="120">
        <v>35</v>
      </c>
      <c r="I31" s="123" t="s">
        <v>311</v>
      </c>
      <c r="J31" s="123" t="s">
        <v>311</v>
      </c>
      <c r="N31" s="156"/>
    </row>
    <row r="32" spans="1:22">
      <c r="A32" s="124"/>
      <c r="B32" s="124"/>
      <c r="C32" s="124"/>
      <c r="D32" s="124"/>
      <c r="E32" s="124"/>
      <c r="F32" s="124"/>
      <c r="G32" s="124"/>
      <c r="H32" s="124"/>
      <c r="I32" s="124"/>
      <c r="J32" s="124"/>
      <c r="N32" s="124"/>
      <c r="O32" s="124"/>
      <c r="P32" s="124"/>
      <c r="Q32" s="124"/>
      <c r="R32" s="124"/>
    </row>
    <row r="33" spans="1:22" ht="75">
      <c r="A33" s="171" t="s">
        <v>365</v>
      </c>
      <c r="B33" s="119" t="s">
        <v>304</v>
      </c>
      <c r="C33" s="119" t="s">
        <v>366</v>
      </c>
      <c r="D33" s="119" t="s">
        <v>367</v>
      </c>
      <c r="E33" s="123" t="s">
        <v>311</v>
      </c>
      <c r="F33" s="123" t="s">
        <v>311</v>
      </c>
      <c r="G33" s="120">
        <v>70</v>
      </c>
      <c r="H33" s="120">
        <v>90</v>
      </c>
      <c r="I33" s="123" t="s">
        <v>311</v>
      </c>
      <c r="J33" s="123" t="s">
        <v>311</v>
      </c>
      <c r="N33" s="171" t="s">
        <v>365</v>
      </c>
      <c r="O33" s="118" t="s">
        <v>307</v>
      </c>
      <c r="P33" s="118">
        <v>0</v>
      </c>
      <c r="Q33" s="118">
        <v>44</v>
      </c>
      <c r="R33" s="118">
        <v>8.5</v>
      </c>
      <c r="S33" s="118">
        <f t="shared" ref="S33:S35" si="6">SUM(P33:R33)</f>
        <v>52.5</v>
      </c>
      <c r="V33" s="121">
        <v>117</v>
      </c>
    </row>
    <row r="34" spans="1:22" ht="90">
      <c r="A34" s="155"/>
      <c r="B34" s="119" t="s">
        <v>308</v>
      </c>
      <c r="C34" s="119" t="s">
        <v>368</v>
      </c>
      <c r="D34" s="119" t="s">
        <v>369</v>
      </c>
      <c r="E34" s="123" t="s">
        <v>311</v>
      </c>
      <c r="F34" s="123" t="s">
        <v>311</v>
      </c>
      <c r="G34" s="120">
        <v>18</v>
      </c>
      <c r="H34" s="120">
        <v>45</v>
      </c>
      <c r="I34" s="120">
        <v>17</v>
      </c>
      <c r="J34" s="120">
        <v>35</v>
      </c>
      <c r="N34" s="155"/>
      <c r="O34" s="118" t="s">
        <v>312</v>
      </c>
      <c r="P34" s="118">
        <v>0</v>
      </c>
      <c r="Q34" s="118">
        <v>5</v>
      </c>
      <c r="R34" s="118">
        <v>8</v>
      </c>
      <c r="S34" s="118">
        <f t="shared" si="6"/>
        <v>13</v>
      </c>
    </row>
    <row r="35" spans="1:22" ht="45">
      <c r="A35" s="155"/>
      <c r="B35" s="119" t="s">
        <v>313</v>
      </c>
      <c r="C35" s="119" t="s">
        <v>370</v>
      </c>
      <c r="D35" s="119" t="s">
        <v>371</v>
      </c>
      <c r="E35" s="123" t="s">
        <v>311</v>
      </c>
      <c r="F35" s="123" t="s">
        <v>311</v>
      </c>
      <c r="G35" s="120">
        <v>5</v>
      </c>
      <c r="H35" s="120">
        <v>10</v>
      </c>
      <c r="I35" s="120">
        <v>8</v>
      </c>
      <c r="J35" s="120">
        <v>15</v>
      </c>
      <c r="N35" s="155"/>
      <c r="O35" s="118" t="s">
        <v>316</v>
      </c>
      <c r="P35" s="118">
        <v>0</v>
      </c>
      <c r="Q35" s="118">
        <v>42</v>
      </c>
      <c r="R35" s="118">
        <v>7</v>
      </c>
      <c r="S35" s="118">
        <f t="shared" si="6"/>
        <v>49</v>
      </c>
    </row>
    <row r="36" spans="1:22" ht="45">
      <c r="A36" s="156"/>
      <c r="B36" s="119" t="s">
        <v>317</v>
      </c>
      <c r="C36" s="125" t="s">
        <v>372</v>
      </c>
      <c r="D36" s="126" t="s">
        <v>373</v>
      </c>
      <c r="E36" s="127"/>
      <c r="F36" s="128"/>
      <c r="G36" s="120">
        <v>42</v>
      </c>
      <c r="H36" s="120">
        <v>50</v>
      </c>
      <c r="I36" s="120">
        <v>7</v>
      </c>
      <c r="J36" s="120">
        <v>20</v>
      </c>
      <c r="N36" s="156"/>
    </row>
    <row r="37" spans="1:22">
      <c r="N37" s="124"/>
      <c r="O37" s="124"/>
      <c r="P37" s="124"/>
      <c r="Q37" s="124"/>
      <c r="R37" s="124"/>
    </row>
    <row r="38" spans="1:22" ht="70">
      <c r="N38" s="171" t="s">
        <v>374</v>
      </c>
      <c r="O38" s="118" t="s">
        <v>307</v>
      </c>
      <c r="P38" s="8">
        <f t="shared" ref="P38:R38" si="7">SUM((P3+P8+P13+P18+P28+P33)/7)</f>
        <v>1.3571428571428572</v>
      </c>
      <c r="Q38" s="8">
        <f t="shared" si="7"/>
        <v>18.071428571428573</v>
      </c>
      <c r="R38" s="8">
        <f t="shared" si="7"/>
        <v>16.857142857142858</v>
      </c>
      <c r="S38" s="8">
        <f t="shared" ref="S38:S40" si="8">SUM(P38:R38)</f>
        <v>36.285714285714292</v>
      </c>
      <c r="T38" s="1"/>
      <c r="U38" s="1" t="s">
        <v>375</v>
      </c>
      <c r="V38" s="1">
        <f>SUM((V3+V8+V13+V18+V23+V28+V33)/7)</f>
        <v>105.77142857142857</v>
      </c>
    </row>
    <row r="39" spans="1:22">
      <c r="N39" s="155"/>
      <c r="O39" s="118" t="s">
        <v>312</v>
      </c>
      <c r="P39" s="8">
        <f t="shared" ref="P39:R39" si="9">SUM((P4+P9+P14+P19+P29+P34)/7)</f>
        <v>7.1428571428571425E-2</v>
      </c>
      <c r="Q39" s="8">
        <f t="shared" si="9"/>
        <v>10.857142857142858</v>
      </c>
      <c r="R39" s="8">
        <f t="shared" si="9"/>
        <v>10.428571428571429</v>
      </c>
      <c r="S39" s="8">
        <f t="shared" si="8"/>
        <v>21.357142857142858</v>
      </c>
    </row>
    <row r="40" spans="1:22">
      <c r="N40" s="155"/>
      <c r="O40" s="118" t="s">
        <v>316</v>
      </c>
      <c r="P40" s="8">
        <f t="shared" ref="P40:R40" si="10">SUM((P5+P10+P15+P20+P30+P35)/7)</f>
        <v>0.68571428571428572</v>
      </c>
      <c r="Q40" s="8">
        <f t="shared" si="10"/>
        <v>13.857142857142858</v>
      </c>
      <c r="R40" s="8">
        <f t="shared" si="10"/>
        <v>3.8571428571428572</v>
      </c>
      <c r="S40" s="8">
        <f t="shared" si="8"/>
        <v>18.399999999999999</v>
      </c>
    </row>
    <row r="41" spans="1:22">
      <c r="N41" s="156"/>
    </row>
    <row r="44" spans="1:22" ht="28">
      <c r="N44" s="1" t="s">
        <v>376</v>
      </c>
      <c r="O44" s="118" t="s">
        <v>377</v>
      </c>
    </row>
    <row r="45" spans="1:22" ht="42">
      <c r="N45" s="1" t="s">
        <v>378</v>
      </c>
      <c r="O45" s="118">
        <v>8.5</v>
      </c>
    </row>
  </sheetData>
  <mergeCells count="18">
    <mergeCell ref="N8:N11"/>
    <mergeCell ref="N13:N16"/>
    <mergeCell ref="N3:N6"/>
    <mergeCell ref="N18:N21"/>
    <mergeCell ref="N23:N26"/>
    <mergeCell ref="N28:N31"/>
    <mergeCell ref="N33:N36"/>
    <mergeCell ref="N38:N41"/>
    <mergeCell ref="A23:A26"/>
    <mergeCell ref="A28:A31"/>
    <mergeCell ref="A33:A36"/>
    <mergeCell ref="A13:A16"/>
    <mergeCell ref="A18:A21"/>
    <mergeCell ref="E1:F1"/>
    <mergeCell ref="G1:H1"/>
    <mergeCell ref="I1:J1"/>
    <mergeCell ref="A3:A6"/>
    <mergeCell ref="A8:A11"/>
  </mergeCells>
  <hyperlinks>
    <hyperlink ref="V3" r:id="rId1" display="https://www.google.com/maps/dir/Kigali,+Rwanda/TTC+MURURU,+Mururu+Sector,+Rwanda/@-2.0435601,28.818664,9z/data=!3m1!4b1!4m14!4m13!1m5!1m1!1s0x19dca4258ed8e797:0xf32b36a5411d0bc8!2m2!1d30.0618851!2d-1.9440727!1m5!1m1!1s0x19c291a1a669e52b:0x34fc975f12c92075!2m2!1d28.8952168!2d-2.5067724!3e0?entry=ttu" xr:uid="{00000000-0004-0000-0600-000000000000}"/>
    <hyperlink ref="V8" r:id="rId2" display="https://www.google.com/maps/dir/Kigali,+Rwanda/TTC+Save,+Ngoma,+Rwanda/@-2.244732,29.6477622,10z/data=!3m1!4b1!4m14!4m13!1m5!1m1!1s0x19dca4258ed8e797:0xf32b36a5411d0bc8!2m2!1d30.0618851!2d-1.9440727!1m5!1m1!1s0x19c312a756893975:0x5567af1008c18126!2m2!1d29.7729468!2d-2.5507113!3e0?entry=ttu" xr:uid="{00000000-0004-0000-0600-000001000000}"/>
    <hyperlink ref="V13" r:id="rId3" display="https://www.google.com/maps/dir/Kigali,+Rwanda/Groupe+Scolaire+Remera+Rukoma,+Taba,+Rwanda/@-1.9709981,29.9346165,13z/data=!3m1!4b1!4m14!4m13!1m5!1m1!1s0x19dca4258ed8e797:0xf32b36a5411d0bc8!2m2!1d30.0618851!2d-1.9440727!1m5!1m1!1s0x19dcbbbee31b93df:0x20d4b9b43f081b70!2m2!1d29.9076558!2d-1.9412695!3e0?entry=ttu" xr:uid="{00000000-0004-0000-0600-000002000000}"/>
    <hyperlink ref="V18" r:id="rId4" display="https://www.google.com/maps/dir/Kigali,+Rwanda/Ttc+De+La+Salle+Byumba,+Kibali,+Rwanda/@-1.7583006,29.9223797,11z/data=!3m1!4b1!4m14!4m13!1m5!1m1!1s0x19dca4258ed8e797:0xf32b36a5411d0bc8!2m2!1d30.0618851!2d-1.9440727!1m5!1m1!1s0x19dc7defb9bc2a59:0x510465c45f7aeef2!2m2!1d30.0525333!2d-1.5727928!3e0?entry=ttu" xr:uid="{00000000-0004-0000-0600-000003000000}"/>
    <hyperlink ref="V23" r:id="rId5" display="https://www.google.com/maps/dir/Kigali,+Rwanda/Kayonza+Modern+School,+2+B,+Rwanda/@-1.937956,30.1185192,11z/data=!3m1!4b1!4m14!4m13!1m5!1m1!1s0x19dca4258ed8e797:0xf32b36a5411d0bc8!2m2!1d30.0618851!2d-1.9440727!1m5!1m1!1s0x19db473fbaa211b9:0xa3f0a27df8b6e4c5!2m2!1d30.5023384!2d-1.9317364!3e0?entry=ttu" xr:uid="{00000000-0004-0000-0600-000004000000}"/>
    <hyperlink ref="V28" r:id="rId6" display="https://www.google.com/maps/dir/Kigali,+Rwanda/Ecole+des+Sciences+de+Musanze,+Ruhengeri,+Musanze,+Rwanda/@-1.7101534,29.6476912,10.48z/data=!4m14!4m13!1m5!1m1!1s0x19dca4258ed8e797:0xf32b36a5411d0bc8!2m2!1d30.0618851!2d-1.9440727!1m5!1m1!1s0x19dc5a71a3cacbf5:0xa0fbad27f5de89ff!2m2!1d29.6126579!2d-1.5022498!3e0?entry=ttu" xr:uid="{00000000-0004-0000-0600-000005000000}"/>
    <hyperlink ref="V33" r:id="rId7" display="https://www.google.com/maps/dir/Kigali,+Rwanda/TTC+Muramba,+Rwanda/@-1.7881766,29.449846,10z/data=!3m1!4b1!4m14!4m13!1m5!1m1!1s0x19dca4258ed8e797:0xf32b36a5411d0bc8!2m2!1d30.0618851!2d-1.9440727!1m5!1m1!1s0x19dcef988b8cf777:0x5848f9dfa0ffbc9e!2m2!1d29.6135195!2d-1.7650429!3e0?entry=ttu" xr:uid="{00000000-0004-0000-0600-000006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7</vt:i4>
      </vt:variant>
    </vt:vector>
  </HeadingPairs>
  <TitlesOfParts>
    <vt:vector size="7" baseType="lpstr">
      <vt:lpstr>Summary of emissions</vt:lpstr>
      <vt:lpstr>Hardware Manufacturing + Repair</vt:lpstr>
      <vt:lpstr>Transportation + Distribution</vt:lpstr>
      <vt:lpstr>Energy Usage</vt:lpstr>
      <vt:lpstr>Additional resources</vt:lpstr>
      <vt:lpstr>Accommodation</vt:lpstr>
      <vt:lpstr>Journey examples and averages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2024-08-20T15:19:05Z</dcterms:modified>
</cp:coreProperties>
</file>